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Исходные Данные" sheetId="1" r:id="rId4"/>
    <sheet state="visible" name="Sheet1" sheetId="2" r:id="rId5"/>
    <sheet state="visible" name="РЕЗУЛЬТАТ" sheetId="3" r:id="rId6"/>
    <sheet state="visible" name="Helpers" sheetId="4" r:id="rId7"/>
    <sheet state="hidden" name="DV-IDENTITY-0" sheetId="5" r:id="rId8"/>
  </sheets>
  <definedNames>
    <definedName name="CarbLoadMultiplier">Helpers!#REF!</definedName>
    <definedName name="MaintenanceMultiplier">Helpers!#REF!</definedName>
    <definedName name="OptYesNo">Helpers!#REF!</definedName>
    <definedName name="CalsProtein">Helpers!$B$2</definedName>
    <definedName name="MeasurementWithNumbers">Helpers!$B$19:$C$21</definedName>
    <definedName name="PowerWorkoutFatAmount">'Исходные Данные'!$H$21</definedName>
    <definedName name="WeightLb">'Исходные Данные'!$C$13</definedName>
    <definedName name="MeasurementTypes">Helpers!$B$19:$B$21</definedName>
    <definedName name="CalsFat">Helpers!$B$4</definedName>
    <definedName name="LowCarbProteinPerLB">'Исходные Данные'!$H$13</definedName>
    <definedName name="SelectedStartWeekday">'Исходные Данные'!$C$21</definedName>
    <definedName name="FatPerc">'Исходные Данные'!$C$16</definedName>
    <definedName name="MaintCals">'Исходные Данные'!$C$19</definedName>
    <definedName name="LastDayCalsPerc">'Исходные Данные'!$H$24</definedName>
    <definedName name="LBMKg">'Исходные Данные'!$E$12</definedName>
    <definedName name="SelectedCarbLoadMultiplier">'Исходные Данные'!$H$16</definedName>
    <definedName name="Weekdays">Helpers!$B$11:$B$17</definedName>
    <definedName name="LBMLb">'Исходные Данные'!$E$13</definedName>
    <definedName name="PowerWorkoutCarbPerKg">'Исходные Данные'!$H$20</definedName>
    <definedName name="LowCarbCarbsPerc">'Исходные Данные'!$H$12</definedName>
    <definedName name="CarbLoadFatAmount">'Исходные Данные'!$H$17</definedName>
    <definedName name="Weight">'Исходные Данные'!$C$11</definedName>
    <definedName name="CalsCarb">Helpers!$B$3</definedName>
    <definedName name="LowCarbCalsPerc">'Исходные Данные'!$H$11</definedName>
    <definedName name="SelectedMaintCalMulti">'Исходные Данные'!$C$18</definedName>
    <definedName name="NonCarbDaysProteinPerLb">'Исходные Данные'!$H$27</definedName>
    <definedName name="WeekdaysWithNumber">Helpers!$B$11:$C$17</definedName>
    <definedName name="LastDayCarbPerKg">'Исходные Данные'!$H$25</definedName>
    <definedName name="WeightKg">'Исходные Данные'!$C$12</definedName>
    <definedName name="WeightStones">'Исходные Данные'!$C$14</definedName>
    <definedName name="TrainingTypes">Helpers!$B$5:$B$9</definedName>
    <definedName hidden="1" name="Google_Sheet_Link_1026022097">PowerWorkoutFatAmount</definedName>
    <definedName hidden="1" name="Google_Sheet_Link_1110334604">SelectedCarbLoadMultiplier</definedName>
    <definedName hidden="1" name="Google_Sheet_Link_1122825974">LBMLb</definedName>
    <definedName hidden="1" name="Google_Sheet_Link_1207607367">WeekdaysWithNumber</definedName>
    <definedName hidden="1" name="Google_Sheet_Link_1454670867">MaintCals</definedName>
    <definedName hidden="1" name="Google_Sheet_Link_1485868244">WeightKg</definedName>
    <definedName hidden="1" name="Google_Sheet_Link_1513053928">CalsProtein</definedName>
    <definedName hidden="1" name="Google_Sheet_Link_1652547357">LowCarbCarbsPerc</definedName>
    <definedName hidden="1" name="Google_Sheet_Link_1675969851">NonCarbDaysProteinPerLb</definedName>
    <definedName hidden="1" name="Google_Sheet_Link_1720403321">LastDayCalsPerc</definedName>
    <definedName hidden="1" name="Google_Sheet_Link_1838576331">SelectedStartWeekday</definedName>
    <definedName hidden="1" name="Google_Sheet_Link_1991273501">CalsCarb</definedName>
    <definedName hidden="1" name="Google_Sheet_Link_2062631788">PowerWorkoutCarbPerKg</definedName>
    <definedName hidden="1" name="Google_Sheet_Link_2095547894">LBMKg</definedName>
    <definedName hidden="1" name="Google_Sheet_Link_252219182">CarbLoadFatAmount</definedName>
    <definedName hidden="1" name="Google_Sheet_Link_381397879">TrainingTypes</definedName>
    <definedName hidden="1" name="Google_Sheet_Link_396659807">MeasurementWithNumbers</definedName>
    <definedName hidden="1" name="Google_Sheet_Link_411716394">MeasurementTypes</definedName>
    <definedName hidden="1" name="Google_Sheet_Link_415631225">LowCarbCalsPerc</definedName>
    <definedName hidden="1" name="Google_Sheet_Link_439631438">Weekdays</definedName>
    <definedName hidden="1" name="Google_Sheet_Link_495587761">WeightStones</definedName>
    <definedName hidden="1" name="Google_Sheet_Link_551722027">CalsFat</definedName>
    <definedName hidden="1" name="Google_Sheet_Link_595613974">FatPerc</definedName>
    <definedName hidden="1" name="Google_Sheet_Link_617068799">LastDayCarbPerKg</definedName>
    <definedName hidden="1" name="Google_Sheet_Link_631582753">WeightLb</definedName>
    <definedName hidden="1" name="Google_Sheet_Link_77577751">Weight</definedName>
    <definedName hidden="1" name="Google_Sheet_Link_94348566">LowCarbProteinPerLB</definedName>
    <definedName hidden="1" name="Google_Sheet_Link_994741705">SelectedMaintCalMulti</definedName>
  </definedNames>
  <calcPr/>
  <extLst>
    <ext uri="GoogleSheetsCustomDataVersion2">
      <go:sheetsCustomData xmlns:go="http://customooxmlschemas.google.com/" r:id="rId9" roundtripDataChecksum="W3w7kis0rB5kcBpvv0nuBc9BxDUVNn8hMrKfsbM/R2M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H27">
      <text>
        <t xml:space="preserve">======
ID#AAAA0rEsv74
andy    (2023-07-11 02:34:49)
Рекомендуется 1 г/фунт</t>
      </text>
    </comment>
    <comment authorId="0" ref="H24">
      <text>
        <t xml:space="preserve">======
ID#AAAA0rEsv7w
andy    (2023-07-11 02:34:49)
Recommended a reduction between 10-20%</t>
      </text>
    </comment>
    <comment authorId="0" ref="H16">
      <text>
        <t xml:space="preserve">======
ID#AAAA0rEsv7o
andy    (2023-07-11 02:34:49)
Рекомендуется от 12г до 16г</t>
      </text>
    </comment>
    <comment authorId="0" ref="H17">
      <text>
        <t xml:space="preserve">======
ID#AAAA0rEsv7s
andy    (2023-07-11 02:34:49)
Около 50г или 15% дневной калорийности</t>
      </text>
    </comment>
    <comment authorId="0" ref="H21">
      <text>
        <t xml:space="preserve">======
ID#AAAA0rEsv7k
andy    (2023-07-11 02:34:49)
Low fats. Between 40 to 50gr</t>
      </text>
    </comment>
    <comment authorId="0" ref="H25">
      <text>
        <t xml:space="preserve">======
ID#AAAA0rEsv7c
andy    (2023-07-11 02:34:49)
Should be around 2 to 3</t>
      </text>
    </comment>
    <comment authorId="0" ref="H12">
      <text>
        <t xml:space="preserve">======
ID#AAAA0rEsv7Y
andy    (2023-07-11 02:34:49)
Не более 20% углеводов</t>
      </text>
    </comment>
    <comment authorId="0" ref="H20">
      <text>
        <t xml:space="preserve">======
ID#AAAA0rEsv7U
andy    (2023-07-11 02:34:49)
Recommended between 4-5 g/kg</t>
      </text>
    </comment>
    <comment authorId="0" ref="C18">
      <text>
        <t xml:space="preserve">======
ID#AAAA0q6kEsQ
Andy Kohn    (2023-07-11 02:34:49)
14-16 (для подсчёта дневной калорийности питания)</t>
      </text>
    </comment>
    <comment authorId="0" ref="H11">
      <text>
        <t xml:space="preserve">======
ID#AAAA0q6kEsM
andy    (2023-07-11 02:34:49)
Рекомендуется уменьшать калорийность на 50%</t>
      </text>
    </comment>
    <comment authorId="0" ref="H13">
      <text>
        <t xml:space="preserve">======
ID#AAAA0q6kEsI
andy    (2023-07-11 02:34:49)
От 1 до 1.5</t>
      </text>
    </comment>
  </commentList>
  <extLst>
    <ext uri="GoogleSheetsCustomDataVersion2">
      <go:sheetsCustomData xmlns:go="http://customooxmlschemas.google.com/" r:id="rId1" roundtripDataSignature="AMtx7mgIVMdK9+rACXmKdnz4zWhFrrEVy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7">
      <text>
        <t xml:space="preserve">======
ID#AAAA0rEsv70
andy    (2023-07-11 02:34:49)
от 50 до 70</t>
      </text>
    </comment>
    <comment authorId="0" ref="D9">
      <text>
        <t xml:space="preserve">======
ID#AAAA0rEsv7g
andy    (2023-07-11 02:34:49)
от 20 до 40</t>
      </text>
    </comment>
    <comment authorId="0" ref="D6">
      <text>
        <t xml:space="preserve">======
ID#AAAA0rEsv7Q
andy    (2023-07-11 02:34:49)
Более 1200</t>
      </text>
    </comment>
  </commentList>
  <extLst>
    <ext uri="GoogleSheetsCustomDataVersion2">
      <go:sheetsCustomData xmlns:go="http://customooxmlschemas.google.com/" r:id="rId1" roundtripDataSignature="AMtx7mhSR+jMP9kV4/ENJLlhyxs2WZE2eg=="/>
    </ext>
  </extLst>
</comments>
</file>

<file path=xl/sharedStrings.xml><?xml version="1.0" encoding="utf-8"?>
<sst xmlns="http://schemas.openxmlformats.org/spreadsheetml/2006/main" count="80" uniqueCount="61">
  <si>
    <t>FITBREAK.NET</t>
  </si>
  <si>
    <t>Расчёт калорийности питания и БЖУ на сушке</t>
  </si>
  <si>
    <t>https://fitbreak.net/diet/80-bodybuilding-fitnes-pitanie-sushka-tela</t>
  </si>
  <si>
    <t>UD2 Исходные данные</t>
  </si>
  <si>
    <t>меняйте значения только в жёлтых ячейках</t>
  </si>
  <si>
    <t>значения в этом столбце можно не менять</t>
  </si>
  <si>
    <t>Низкоуглеводные дни</t>
  </si>
  <si>
    <t>Вес, кг</t>
  </si>
  <si>
    <t>Kg</t>
  </si>
  <si>
    <t>Сухая мышечная масса</t>
  </si>
  <si>
    <t>% Дефицита калорий</t>
  </si>
  <si>
    <t>кг</t>
  </si>
  <si>
    <t>% Carbs</t>
  </si>
  <si>
    <t>фунты</t>
  </si>
  <si>
    <t>Количество белков на 1 фунт веса</t>
  </si>
  <si>
    <t>стоуны</t>
  </si>
  <si>
    <t>Углеводная загрузка</t>
  </si>
  <si>
    <t xml:space="preserve"> % жира в теле</t>
  </si>
  <si>
    <t>Углеводы (грамм) на кг сухой мышечной массы</t>
  </si>
  <si>
    <t>Жир, грамм</t>
  </si>
  <si>
    <t>Коэффициент калорийности K</t>
  </si>
  <si>
    <t>Калории для поддержания веса</t>
  </si>
  <si>
    <t>День силовой тренировки</t>
  </si>
  <si>
    <t>Первый день диеты</t>
  </si>
  <si>
    <t>ПН</t>
  </si>
  <si>
    <t>Последний день (воскресенье)</t>
  </si>
  <si>
    <t>Количество белков на 1 фунт веса на дни с повышенным и нормальным количесвом углеводов</t>
  </si>
  <si>
    <t>Результаты</t>
  </si>
  <si>
    <t>ПТ</t>
  </si>
  <si>
    <t>Питание</t>
  </si>
  <si>
    <t>низкоуглеводка</t>
  </si>
  <si>
    <t>углеводная загрузка</t>
  </si>
  <si>
    <t>Тренировка</t>
  </si>
  <si>
    <t>объёмная</t>
  </si>
  <si>
    <t>нет</t>
  </si>
  <si>
    <t>интенсивная</t>
  </si>
  <si>
    <t>силовая</t>
  </si>
  <si>
    <t>Калории</t>
  </si>
  <si>
    <t>БЖУ</t>
  </si>
  <si>
    <t>Углеводы, г</t>
  </si>
  <si>
    <t>Протеин (белок), г</t>
  </si>
  <si>
    <t>Жир, г</t>
  </si>
  <si>
    <t>Дополнительно (при желании)</t>
  </si>
  <si>
    <t>утреннее кардио</t>
  </si>
  <si>
    <t>вечернее кардио</t>
  </si>
  <si>
    <t>Calories validation from macros (for bugs)</t>
  </si>
  <si>
    <t>Cals per gram of protein</t>
  </si>
  <si>
    <t>Cals per gram of carb</t>
  </si>
  <si>
    <t>Cals per gram of fat</t>
  </si>
  <si>
    <t>Training Types</t>
  </si>
  <si>
    <t>кардио утром (опционально)</t>
  </si>
  <si>
    <t>Days</t>
  </si>
  <si>
    <t>ВТ</t>
  </si>
  <si>
    <t>СР</t>
  </si>
  <si>
    <t>ЧТ</t>
  </si>
  <si>
    <t>СБ</t>
  </si>
  <si>
    <t>ВС</t>
  </si>
  <si>
    <t>Measurement</t>
  </si>
  <si>
    <t>Lb</t>
  </si>
  <si>
    <t>Stones</t>
  </si>
  <si>
    <t>AAAAAD8/7Tg=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</si>
</sst>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1">
    <font>
      <sz val="11.0"/>
      <color theme="1"/>
      <name val="Calibri"/>
      <scheme val="minor"/>
    </font>
    <font>
      <b/>
      <u/>
      <sz val="36.0"/>
      <color rgb="FF0000FF"/>
      <name val="Comfortaa"/>
    </font>
    <font>
      <sz val="11.0"/>
      <color rgb="FF548DD4"/>
      <name val="Calibri"/>
    </font>
    <font>
      <sz val="20.0"/>
      <color rgb="FF00B050"/>
      <name val="Calibri"/>
    </font>
    <font>
      <sz val="16.0"/>
      <color rgb="FF00B050"/>
      <name val="Calibri"/>
    </font>
    <font>
      <u/>
      <sz val="16.0"/>
      <color rgb="FF0000FF"/>
      <name val="Calibri"/>
    </font>
    <font>
      <b/>
      <u/>
      <sz val="26.0"/>
      <color theme="1"/>
      <name val="Calibri"/>
    </font>
    <font>
      <sz val="26.0"/>
      <color rgb="FFFF0000"/>
      <name val="Calibri"/>
    </font>
    <font>
      <sz val="14.0"/>
      <color rgb="FFFF0000"/>
      <name val="Calibri"/>
    </font>
    <font>
      <b/>
      <u/>
      <sz val="11.0"/>
      <color theme="1"/>
      <name val="Calibri"/>
    </font>
    <font>
      <sz val="11.0"/>
      <color rgb="FF00B050"/>
      <name val="Calibri"/>
    </font>
    <font>
      <b/>
      <sz val="11.0"/>
      <color theme="1"/>
      <name val="Calibri"/>
    </font>
    <font>
      <sz val="11.0"/>
      <color theme="1"/>
      <name val="Calibri"/>
    </font>
    <font/>
    <font>
      <b/>
      <sz val="11.0"/>
      <color rgb="FFFF0000"/>
      <name val="Calibri"/>
    </font>
    <font>
      <sz val="8.0"/>
      <color theme="1"/>
      <name val="Kartika"/>
    </font>
    <font>
      <b/>
      <u/>
      <sz val="8.0"/>
      <color rgb="FFFF0000"/>
      <name val="Kartika"/>
    </font>
    <font>
      <sz val="8.0"/>
      <color theme="1"/>
      <name val="Mangal"/>
    </font>
    <font>
      <sz val="11.0"/>
      <color theme="0"/>
      <name val="Calibri"/>
    </font>
    <font>
      <sz val="9.0"/>
      <color theme="1"/>
      <name val="Calibri"/>
    </font>
    <font>
      <color theme="1"/>
      <name val="Calibri"/>
      <scheme val="minor"/>
    </font>
  </fonts>
  <fills count="9">
    <fill>
      <patternFill patternType="none"/>
    </fill>
    <fill>
      <patternFill patternType="lightGray"/>
    </fill>
    <fill>
      <patternFill patternType="solid">
        <fgColor rgb="FFEEECE1"/>
        <bgColor rgb="FFEEECE1"/>
      </patternFill>
    </fill>
    <fill>
      <patternFill patternType="solid">
        <fgColor rgb="FFFFFF00"/>
        <bgColor rgb="FFFFFF00"/>
      </patternFill>
    </fill>
    <fill>
      <patternFill patternType="solid">
        <fgColor rgb="FFE5DFEC"/>
        <bgColor rgb="FFE5DFEC"/>
      </patternFill>
    </fill>
    <fill>
      <patternFill patternType="solid">
        <fgColor rgb="FF17365D"/>
        <bgColor rgb="FF17365D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C6D9F0"/>
        <bgColor rgb="FFC6D9F0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theme="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left" vertical="top"/>
    </xf>
    <xf borderId="0" fillId="0" fontId="4" numFmtId="0" xfId="0" applyAlignment="1" applyFont="1">
      <alignment vertical="center"/>
    </xf>
    <xf borderId="0" fillId="0" fontId="5" numFmtId="0" xfId="0" applyAlignment="1" applyFont="1">
      <alignment readingOrder="0" vertical="center"/>
    </xf>
    <xf borderId="0" fillId="0" fontId="6" numFmtId="0" xfId="0" applyFont="1"/>
    <xf borderId="0" fillId="0" fontId="7" numFmtId="0" xfId="0" applyFont="1"/>
    <xf borderId="0" fillId="0" fontId="8" numFmtId="0" xfId="0" applyFont="1"/>
    <xf borderId="0" fillId="0" fontId="9" numFmtId="0" xfId="0" applyFont="1"/>
    <xf borderId="0" fillId="0" fontId="10" numFmtId="0" xfId="0" applyFont="1"/>
    <xf borderId="1" fillId="2" fontId="11" numFmtId="0" xfId="0" applyBorder="1" applyFill="1" applyFont="1"/>
    <xf borderId="2" fillId="3" fontId="12" numFmtId="0" xfId="0" applyBorder="1" applyFill="1" applyFont="1"/>
    <xf borderId="1" fillId="3" fontId="12" numFmtId="0" xfId="0" applyBorder="1" applyFont="1"/>
    <xf borderId="1" fillId="0" fontId="12" numFmtId="0" xfId="0" applyBorder="1" applyFont="1"/>
    <xf borderId="1" fillId="3" fontId="12" numFmtId="10" xfId="0" applyBorder="1" applyFont="1" applyNumberFormat="1"/>
    <xf borderId="1" fillId="0" fontId="12" numFmtId="2" xfId="0" applyBorder="1" applyFont="1" applyNumberFormat="1"/>
    <xf borderId="1" fillId="0" fontId="12" numFmtId="0" xfId="0" applyAlignment="1" applyBorder="1" applyFont="1">
      <alignment shrinkToFit="0" wrapText="1"/>
    </xf>
    <xf borderId="1" fillId="0" fontId="12" numFmtId="0" xfId="0" applyAlignment="1" applyBorder="1" applyFont="1">
      <alignment horizontal="left" vertical="center"/>
    </xf>
    <xf borderId="1" fillId="0" fontId="12" numFmtId="0" xfId="0" applyAlignment="1" applyBorder="1" applyFont="1">
      <alignment horizontal="left" shrinkToFit="0" vertical="center" wrapText="1"/>
    </xf>
    <xf borderId="3" fillId="4" fontId="12" numFmtId="0" xfId="0" applyAlignment="1" applyBorder="1" applyFill="1" applyFont="1">
      <alignment vertical="center"/>
    </xf>
    <xf borderId="4" fillId="0" fontId="13" numFmtId="0" xfId="0" applyBorder="1" applyFont="1"/>
    <xf borderId="0" fillId="0" fontId="12" numFmtId="10" xfId="0" applyFont="1" applyNumberFormat="1"/>
    <xf borderId="0" fillId="0" fontId="14" numFmtId="0" xfId="0" applyFont="1"/>
    <xf borderId="0" fillId="0" fontId="12" numFmtId="0" xfId="0" applyFont="1"/>
    <xf borderId="0" fillId="0" fontId="12" numFmtId="15" xfId="0" applyAlignment="1" applyFont="1" applyNumberFormat="1">
      <alignment horizontal="center" vertical="center"/>
    </xf>
    <xf borderId="0" fillId="0" fontId="15" numFmtId="0" xfId="0" applyFont="1"/>
    <xf borderId="0" fillId="0" fontId="16" numFmtId="0" xfId="0" applyFont="1"/>
    <xf borderId="0" fillId="0" fontId="17" numFmtId="0" xfId="0" applyFont="1"/>
    <xf borderId="5" fillId="5" fontId="18" numFmtId="0" xfId="0" applyAlignment="1" applyBorder="1" applyFill="1" applyFont="1">
      <alignment shrinkToFit="0" wrapText="1"/>
    </xf>
    <xf borderId="3" fillId="0" fontId="12" numFmtId="0" xfId="0" applyBorder="1" applyFont="1"/>
    <xf borderId="1" fillId="0" fontId="19" numFmtId="0" xfId="0" applyBorder="1" applyFont="1"/>
    <xf borderId="3" fillId="6" fontId="12" numFmtId="0" xfId="0" applyBorder="1" applyFill="1" applyFont="1"/>
    <xf borderId="1" fillId="6" fontId="19" numFmtId="0" xfId="0" applyAlignment="1" applyBorder="1" applyFont="1">
      <alignment horizontal="center"/>
    </xf>
    <xf borderId="3" fillId="6" fontId="19" numFmtId="0" xfId="0" applyAlignment="1" applyBorder="1" applyFont="1">
      <alignment horizontal="center"/>
    </xf>
    <xf borderId="3" fillId="7" fontId="12" numFmtId="0" xfId="0" applyBorder="1" applyFill="1" applyFont="1"/>
    <xf borderId="6" fillId="8" fontId="12" numFmtId="0" xfId="0" applyBorder="1" applyFill="1" applyFont="1"/>
    <xf borderId="1" fillId="8" fontId="12" numFmtId="0" xfId="0" applyBorder="1" applyFont="1"/>
    <xf borderId="3" fillId="8" fontId="12" numFmtId="0" xfId="0" applyAlignment="1" applyBorder="1" applyFont="1">
      <alignment horizontal="center"/>
    </xf>
    <xf borderId="7" fillId="0" fontId="13" numFmtId="0" xfId="0" applyBorder="1" applyFont="1"/>
    <xf borderId="8" fillId="8" fontId="12" numFmtId="0" xfId="0" applyBorder="1" applyFont="1"/>
    <xf borderId="9" fillId="7" fontId="12" numFmtId="0" xfId="0" applyAlignment="1" applyBorder="1" applyFont="1">
      <alignment horizontal="center" vertical="center"/>
    </xf>
    <xf borderId="1" fillId="7" fontId="12" numFmtId="0" xfId="0" applyBorder="1" applyFont="1"/>
    <xf borderId="10" fillId="0" fontId="13" numFmtId="0" xfId="0" applyBorder="1" applyFont="1"/>
    <xf borderId="11" fillId="0" fontId="13" numFmtId="0" xfId="0" applyBorder="1" applyFont="1"/>
    <xf borderId="6" fillId="8" fontId="12" numFmtId="2" xfId="0" applyBorder="1" applyFont="1" applyNumberFormat="1"/>
    <xf borderId="1" fillId="8" fontId="12" numFmtId="2" xfId="0" applyBorder="1" applyFont="1" applyNumberFormat="1"/>
    <xf borderId="6" fillId="4" fontId="17" numFmtId="0" xfId="0" applyBorder="1" applyFont="1"/>
    <xf borderId="1" fillId="4" fontId="17" numFmtId="0" xfId="0" applyBorder="1" applyFont="1"/>
    <xf borderId="2" fillId="4" fontId="17" numFmtId="0" xfId="0" applyBorder="1" applyFont="1"/>
    <xf borderId="1" fillId="4" fontId="17" numFmtId="0" xfId="0" applyAlignment="1" applyBorder="1" applyFont="1">
      <alignment horizontal="center" vertical="center"/>
    </xf>
    <xf borderId="3" fillId="4" fontId="17" numFmtId="0" xfId="0" applyAlignment="1" applyBorder="1" applyFont="1">
      <alignment horizontal="center" vertical="center"/>
    </xf>
    <xf borderId="1" fillId="4" fontId="17" numFmtId="0" xfId="0" applyAlignment="1" applyBorder="1" applyFont="1">
      <alignment horizontal="center"/>
    </xf>
    <xf borderId="12" fillId="4" fontId="17" numFmtId="0" xfId="0" applyAlignment="1" applyBorder="1" applyFont="1">
      <alignment horizontal="center" vertical="center"/>
    </xf>
    <xf borderId="1" fillId="4" fontId="12" numFmtId="0" xfId="0" applyBorder="1" applyFont="1"/>
    <xf borderId="13" fillId="4" fontId="15" numFmtId="0" xfId="0" applyBorder="1" applyFont="1"/>
    <xf borderId="14" fillId="4" fontId="15" numFmtId="0" xfId="0" applyBorder="1" applyFont="1"/>
    <xf borderId="15" fillId="4" fontId="15" numFmtId="0" xfId="0" applyBorder="1" applyFont="1"/>
    <xf borderId="0" fillId="0" fontId="20" numFmtId="0" xfId="0" applyFon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://fitbreak.net/" TargetMode="External"/><Relationship Id="rId3" Type="http://schemas.openxmlformats.org/officeDocument/2006/relationships/hyperlink" Target="https://fitbreak.net/diet/80-bodybuilding-fitnes-pitanie-sushka-tela" TargetMode="External"/><Relationship Id="rId4" Type="http://schemas.openxmlformats.org/officeDocument/2006/relationships/drawing" Target="../drawings/drawing1.xml"/><Relationship Id="rId5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showGridLines="0" workbookViewId="0"/>
  </sheetViews>
  <sheetFormatPr customHeight="1" defaultColWidth="14.43" defaultRowHeight="15.0"/>
  <cols>
    <col customWidth="1" min="1" max="1" width="11.86"/>
    <col customWidth="1" min="2" max="2" width="18.86"/>
    <col customWidth="1" min="3" max="3" width="19.14"/>
    <col customWidth="1" min="4" max="4" width="6.14"/>
    <col customWidth="1" min="5" max="5" width="24.0"/>
    <col customWidth="1" min="6" max="6" width="12.71"/>
    <col customWidth="1" min="7" max="7" width="33.0"/>
    <col customWidth="1" min="8" max="8" width="7.14"/>
    <col customWidth="1" min="9" max="9" width="9.0"/>
    <col customWidth="1" min="10" max="26" width="8.71"/>
  </cols>
  <sheetData>
    <row r="1" ht="14.25" customHeight="1"/>
    <row r="2" ht="14.25" customHeight="1">
      <c r="B2" s="1" t="s">
        <v>0</v>
      </c>
    </row>
    <row r="3" ht="14.25" customHeight="1"/>
    <row r="4" ht="14.25" customHeight="1">
      <c r="B4" s="2"/>
      <c r="C4" s="2"/>
      <c r="D4" s="2"/>
      <c r="E4" s="2"/>
      <c r="F4" s="2"/>
      <c r="G4" s="2"/>
      <c r="H4" s="2"/>
      <c r="I4" s="2"/>
    </row>
    <row r="5" ht="14.25" customHeight="1">
      <c r="A5" s="3"/>
      <c r="B5" s="4" t="s">
        <v>1</v>
      </c>
      <c r="C5" s="2"/>
      <c r="D5" s="2"/>
      <c r="E5" s="2"/>
      <c r="F5" s="2"/>
      <c r="G5" s="2"/>
      <c r="H5" s="2"/>
      <c r="I5" s="2"/>
    </row>
    <row r="6" ht="27.75" customHeight="1">
      <c r="A6" s="3"/>
      <c r="B6" s="5" t="s">
        <v>2</v>
      </c>
      <c r="H6" s="2"/>
      <c r="I6" s="2"/>
    </row>
    <row r="7" ht="14.25" customHeight="1">
      <c r="B7" s="2"/>
      <c r="C7" s="2"/>
      <c r="D7" s="2"/>
      <c r="E7" s="2"/>
      <c r="F7" s="2"/>
      <c r="G7" s="2"/>
      <c r="H7" s="2"/>
      <c r="I7" s="2"/>
    </row>
    <row r="8" ht="14.25" customHeight="1">
      <c r="B8" s="6" t="s">
        <v>3</v>
      </c>
      <c r="F8" s="7"/>
      <c r="G8" s="8" t="s">
        <v>4</v>
      </c>
    </row>
    <row r="9" ht="14.25" customHeight="1">
      <c r="B9" s="9"/>
      <c r="G9" s="10" t="s">
        <v>5</v>
      </c>
    </row>
    <row r="10" ht="14.25" customHeight="1">
      <c r="G10" s="11" t="s">
        <v>6</v>
      </c>
    </row>
    <row r="11" ht="14.25" customHeight="1">
      <c r="B11" s="11" t="s">
        <v>7</v>
      </c>
      <c r="C11" s="12">
        <v>85.0</v>
      </c>
      <c r="D11" s="13" t="s">
        <v>8</v>
      </c>
      <c r="E11" s="11" t="s">
        <v>9</v>
      </c>
      <c r="G11" s="14" t="s">
        <v>10</v>
      </c>
      <c r="H11" s="15">
        <v>0.5</v>
      </c>
    </row>
    <row r="12" ht="14.25" customHeight="1">
      <c r="B12" s="14" t="s">
        <v>11</v>
      </c>
      <c r="C12" s="16">
        <f>C11/LOOKUP(D11,MeasurementWithNumbers)</f>
        <v>85</v>
      </c>
      <c r="E12" s="16">
        <f>WeightKg-(WeightKg*FatPerc)</f>
        <v>68</v>
      </c>
      <c r="G12" s="14" t="s">
        <v>12</v>
      </c>
      <c r="H12" s="15">
        <v>0.2</v>
      </c>
    </row>
    <row r="13" ht="14.25" customHeight="1">
      <c r="B13" s="14" t="s">
        <v>13</v>
      </c>
      <c r="C13" s="16">
        <f>WeightKg*LOOKUP("Lb",MeasurementWithNumbers)</f>
        <v>187</v>
      </c>
      <c r="E13" s="16">
        <f>LBMKg*LOOKUP("Lb",MeasurementWithNumbers)</f>
        <v>149.6</v>
      </c>
      <c r="G13" s="17" t="s">
        <v>14</v>
      </c>
      <c r="H13" s="13">
        <v>1.3</v>
      </c>
    </row>
    <row r="14" ht="14.25" customHeight="1">
      <c r="B14" s="14" t="s">
        <v>15</v>
      </c>
      <c r="C14" s="16">
        <f>WeightKg*LOOKUP("Stones",MeasurementWithNumbers)</f>
        <v>13.38520878</v>
      </c>
      <c r="E14" s="16">
        <f>LBMKg*LOOKUP("Stones",MeasurementWithNumbers)</f>
        <v>10.70816702</v>
      </c>
    </row>
    <row r="15" ht="14.25" customHeight="1">
      <c r="G15" s="11" t="s">
        <v>16</v>
      </c>
    </row>
    <row r="16" ht="29.25" customHeight="1">
      <c r="B16" s="18" t="s">
        <v>17</v>
      </c>
      <c r="C16" s="15">
        <v>0.2</v>
      </c>
      <c r="G16" s="19" t="s">
        <v>18</v>
      </c>
      <c r="H16" s="13">
        <v>14.0</v>
      </c>
    </row>
    <row r="17" ht="14.25" customHeight="1">
      <c r="G17" s="14" t="s">
        <v>19</v>
      </c>
      <c r="H17" s="13">
        <v>50.0</v>
      </c>
    </row>
    <row r="18" ht="30.0" customHeight="1">
      <c r="B18" s="19" t="s">
        <v>20</v>
      </c>
      <c r="C18" s="13">
        <v>14.0</v>
      </c>
    </row>
    <row r="19" ht="14.25" customHeight="1">
      <c r="B19" s="19" t="s">
        <v>21</v>
      </c>
      <c r="C19" s="14">
        <f>WeightLb*SelectedMaintCalMulti</f>
        <v>2618</v>
      </c>
      <c r="G19" s="11" t="s">
        <v>22</v>
      </c>
    </row>
    <row r="20" ht="14.25" customHeight="1">
      <c r="G20" s="19" t="s">
        <v>18</v>
      </c>
      <c r="H20" s="13">
        <v>4.6</v>
      </c>
    </row>
    <row r="21" ht="14.25" customHeight="1">
      <c r="B21" s="17" t="s">
        <v>23</v>
      </c>
      <c r="C21" s="20" t="s">
        <v>24</v>
      </c>
      <c r="D21" s="21"/>
      <c r="G21" s="14" t="s">
        <v>19</v>
      </c>
      <c r="H21" s="13">
        <v>40.0</v>
      </c>
    </row>
    <row r="22" ht="14.25" customHeight="1">
      <c r="C22" s="22"/>
    </row>
    <row r="23" ht="14.25" customHeight="1">
      <c r="G23" s="11" t="s">
        <v>25</v>
      </c>
    </row>
    <row r="24" ht="14.25" customHeight="1">
      <c r="G24" s="14" t="s">
        <v>10</v>
      </c>
      <c r="H24" s="15">
        <v>0.15</v>
      </c>
    </row>
    <row r="25" ht="14.25" customHeight="1">
      <c r="G25" s="19" t="s">
        <v>18</v>
      </c>
      <c r="H25" s="13">
        <v>2.0</v>
      </c>
    </row>
    <row r="26" ht="14.25" customHeight="1"/>
    <row r="27" ht="42.0" customHeight="1">
      <c r="G27" s="19" t="s">
        <v>26</v>
      </c>
      <c r="H27" s="13">
        <v>1.0</v>
      </c>
    </row>
    <row r="28" ht="14.25" customHeight="1"/>
    <row r="29" ht="14.25" customHeight="1">
      <c r="B29" s="23"/>
    </row>
    <row r="30" ht="14.25" customHeight="1">
      <c r="B30" s="23"/>
      <c r="G30" s="24"/>
      <c r="H30" s="24"/>
    </row>
    <row r="31" ht="14.25" customHeight="1">
      <c r="F31" s="24"/>
      <c r="G31" s="24"/>
      <c r="H31" s="24"/>
      <c r="I31" s="24"/>
    </row>
    <row r="32" ht="14.25" customHeight="1">
      <c r="F32" s="24"/>
      <c r="G32" s="24"/>
      <c r="H32" s="24"/>
      <c r="I32" s="24"/>
    </row>
    <row r="33" ht="14.25" customHeight="1">
      <c r="F33" s="24"/>
      <c r="G33" s="24"/>
      <c r="H33" s="24"/>
      <c r="I33" s="24"/>
    </row>
    <row r="34" ht="14.25" customHeight="1">
      <c r="F34" s="24"/>
      <c r="G34" s="24"/>
      <c r="H34" s="24"/>
      <c r="I34" s="24"/>
    </row>
    <row r="35" ht="14.25" customHeight="1">
      <c r="B35" s="25"/>
    </row>
    <row r="36" ht="14.25" customHeight="1">
      <c r="B36" s="25"/>
    </row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B2:I3"/>
    <mergeCell ref="C21:D21"/>
    <mergeCell ref="B6:G6"/>
  </mergeCells>
  <dataValidations>
    <dataValidation type="list" allowBlank="1" showInputMessage="1" showErrorMessage="1" prompt="Please select one of the weekday - Please select one of the weekday" sqref="C21">
      <formula1>Weekdays</formula1>
    </dataValidation>
    <dataValidation type="list" allowBlank="1" showErrorMessage="1" sqref="D11">
      <formula1>MeasurementTypes</formula1>
    </dataValidation>
  </dataValidations>
  <hyperlinks>
    <hyperlink r:id="rId2" ref="B2"/>
    <hyperlink r:id="rId3" ref="B6"/>
  </hyperlinks>
  <printOptions/>
  <pageMargins bottom="0.75" footer="0.0" header="0.0" left="0.7" right="0.7" top="0.75"/>
  <pageSetup paperSize="9" orientation="portrait"/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showGridLines="0" workbookViewId="0"/>
  </sheetViews>
  <sheetFormatPr customHeight="1" defaultColWidth="14.43" defaultRowHeight="15.0"/>
  <cols>
    <col customWidth="1" min="1" max="1" width="5.0"/>
    <col customWidth="1" min="2" max="2" width="6.71"/>
    <col customWidth="1" min="3" max="3" width="21.14"/>
    <col customWidth="1" min="4" max="4" width="13.29"/>
    <col customWidth="1" min="5" max="6" width="15.43"/>
    <col customWidth="1" min="7" max="7" width="14.43"/>
    <col customWidth="1" min="8" max="8" width="17.43"/>
    <col customWidth="1" min="9" max="9" width="12.0"/>
    <col customWidth="1" min="10" max="10" width="8.57"/>
    <col customWidth="1" min="11" max="11" width="14.29"/>
    <col customWidth="1" min="12" max="26" width="8.71"/>
  </cols>
  <sheetData>
    <row r="1" ht="14.25" customHeight="1">
      <c r="B1" s="26"/>
      <c r="C1" s="27" t="s">
        <v>27</v>
      </c>
      <c r="D1" s="26"/>
      <c r="E1" s="26"/>
      <c r="F1" s="26"/>
      <c r="G1" s="26"/>
      <c r="H1" s="26"/>
      <c r="I1" s="26"/>
      <c r="J1" s="26"/>
      <c r="K1" s="26"/>
    </row>
    <row r="2" ht="39.0" customHeight="1">
      <c r="B2" s="26"/>
      <c r="C2" s="26"/>
      <c r="D2" s="26"/>
      <c r="E2" s="26"/>
      <c r="F2" s="26"/>
      <c r="G2" s="26"/>
      <c r="H2" s="26"/>
      <c r="I2" s="26"/>
      <c r="J2" s="26"/>
      <c r="K2" s="26"/>
    </row>
    <row r="3" ht="31.5" customHeight="1">
      <c r="B3" s="28"/>
      <c r="C3" s="28"/>
      <c r="D3" s="29" t="str">
        <f>SelectedStartWeekday</f>
        <v>ПН</v>
      </c>
      <c r="E3" s="29" t="str">
        <f t="array" ref="E3">IF(ISERROR(INDEX(Weekdays,(VLOOKUP(D3,WeekdaysWithNumber,2,FALSE)+1))),INDEX(Weekdays,1),INDEX(Weekdays,(VLOOKUP(D3,WeekdaysWithNumber,2,FALSE)+1)))</f>
        <v>ВТ</v>
      </c>
      <c r="F3" s="29" t="str">
        <f t="array" ref="F3">IF(ISERROR(INDEX(Weekdays,(VLOOKUP(E3,WeekdaysWithNumber,2,FALSE)+1))),INDEX(Weekdays,1),INDEX(Weekdays,(VLOOKUP(E3,WeekdaysWithNumber,2,FALSE)+1)))</f>
        <v>СР</v>
      </c>
      <c r="G3" s="29" t="str">
        <f t="array" ref="G3">(IF(ISERROR(INDEX(Weekdays,(VLOOKUP(F3,WeekdaysWithNumber,2,FALSE)+1))),INDEX(Weekdays,1),INDEX(Weekdays,(VLOOKUP(F3,WeekdaysWithNumber,2,FALSE)+1)))&amp;" до тренировки")</f>
        <v>ЧТ до тренировки</v>
      </c>
      <c r="H3" s="29" t="str">
        <f>SUBSTITUTE(G3," до тренировки"," после тренировки")</f>
        <v>ЧТ после тренировки</v>
      </c>
      <c r="I3" s="29" t="s">
        <v>28</v>
      </c>
      <c r="J3" s="29" t="str">
        <f t="array" ref="J3">IF(ISERROR(INDEX(Weekdays,(VLOOKUP(I3,WeekdaysWithNumber,2,FALSE)+1))),INDEX(Weekdays,1),INDEX(Weekdays,(VLOOKUP(I3,WeekdaysWithNumber,2,FALSE)+1)))</f>
        <v>СБ</v>
      </c>
      <c r="K3" s="29" t="str">
        <f t="array" ref="K3">IF(ISERROR(INDEX(Weekdays,(VLOOKUP(J3,WeekdaysWithNumber,2,FALSE)+1))),INDEX(Weekdays,1),INDEX(Weekdays,(VLOOKUP(J3,WeekdaysWithNumber,2,FALSE)+1)))</f>
        <v>ВС</v>
      </c>
    </row>
    <row r="4" ht="27.0" customHeight="1">
      <c r="B4" s="30" t="s">
        <v>29</v>
      </c>
      <c r="C4" s="21"/>
      <c r="D4" s="31" t="s">
        <v>30</v>
      </c>
      <c r="E4" s="31" t="s">
        <v>30</v>
      </c>
      <c r="F4" s="31" t="s">
        <v>30</v>
      </c>
      <c r="G4" s="31" t="s">
        <v>30</v>
      </c>
      <c r="H4" s="31" t="s">
        <v>31</v>
      </c>
      <c r="I4" s="31" t="s">
        <v>31</v>
      </c>
      <c r="J4" s="31"/>
      <c r="K4" s="31"/>
    </row>
    <row r="5" ht="28.5" customHeight="1">
      <c r="B5" s="32" t="s">
        <v>32</v>
      </c>
      <c r="C5" s="21"/>
      <c r="D5" s="33" t="s">
        <v>33</v>
      </c>
      <c r="E5" s="33" t="s">
        <v>33</v>
      </c>
      <c r="F5" s="34" t="s">
        <v>34</v>
      </c>
      <c r="G5" s="21"/>
      <c r="H5" s="33" t="s">
        <v>35</v>
      </c>
      <c r="I5" s="33" t="s">
        <v>34</v>
      </c>
      <c r="J5" s="33" t="s">
        <v>36</v>
      </c>
      <c r="K5" s="33" t="s">
        <v>34</v>
      </c>
    </row>
    <row r="6" ht="14.25" customHeight="1">
      <c r="B6" s="35" t="s">
        <v>37</v>
      </c>
      <c r="C6" s="21"/>
      <c r="D6" s="36">
        <f>MaintCals*(1-LowCarbCalsPerc)</f>
        <v>1309</v>
      </c>
      <c r="E6" s="37">
        <f>MaintCals*(1-LowCarbCalsPerc)</f>
        <v>1309</v>
      </c>
      <c r="F6" s="37">
        <f>MaintCals*(1-LowCarbCalsPerc)</f>
        <v>1309</v>
      </c>
      <c r="G6" s="37">
        <f>(MaintCals*(1-LowCarbCalsPerc))*0.75</f>
        <v>981.75</v>
      </c>
      <c r="H6" s="38">
        <f>H7*CalsCarb+H8*CalsProtein+H9*CalsFat</f>
        <v>4856.4</v>
      </c>
      <c r="I6" s="39"/>
      <c r="J6" s="37">
        <f>J7*CalsCarb+J8*CalsProtein+J9*CalsFat</f>
        <v>2359.2</v>
      </c>
      <c r="K6" s="40">
        <f>MaintCals*(1-LastDayCalsPerc)</f>
        <v>2225.3</v>
      </c>
    </row>
    <row r="7" ht="14.25" customHeight="1">
      <c r="B7" s="41" t="s">
        <v>38</v>
      </c>
      <c r="C7" s="42" t="s">
        <v>39</v>
      </c>
      <c r="D7" s="36">
        <f>(D6*LowCarbCarbsPerc)/CalsCarb</f>
        <v>65.45</v>
      </c>
      <c r="E7" s="37">
        <f>(D6*LowCarbCarbsPerc)/CalsCarb</f>
        <v>65.45</v>
      </c>
      <c r="F7" s="37">
        <f>(E6*LowCarbCarbsPerc)/CalsCarb</f>
        <v>65.45</v>
      </c>
      <c r="G7" s="37">
        <f>(G6*LowCarbCarbsPerc)/CalsCarb</f>
        <v>49.0875</v>
      </c>
      <c r="H7" s="38">
        <f>SelectedCarbLoadMultiplier*LBMKg</f>
        <v>952</v>
      </c>
      <c r="I7" s="39"/>
      <c r="J7" s="37">
        <f>LBMKg*PowerWorkoutCarbPerKg</f>
        <v>312.8</v>
      </c>
      <c r="K7" s="40">
        <f>LBMKg*LastDayCarbPerKg</f>
        <v>136</v>
      </c>
    </row>
    <row r="8" ht="14.25" customHeight="1">
      <c r="B8" s="43"/>
      <c r="C8" s="42" t="s">
        <v>40</v>
      </c>
      <c r="D8" s="36">
        <f>LowCarbProteinPerLB*LBMLb</f>
        <v>194.48</v>
      </c>
      <c r="E8" s="37">
        <f>LowCarbProteinPerLB*LBMLb</f>
        <v>194.48</v>
      </c>
      <c r="F8" s="37">
        <f>LowCarbProteinPerLB*LBMLb</f>
        <v>194.48</v>
      </c>
      <c r="G8" s="37">
        <f>LowCarbProteinPerLB*LBMLb</f>
        <v>194.48</v>
      </c>
      <c r="H8" s="38">
        <f>NonCarbDaysProteinPerLb*LBMLb</f>
        <v>149.6</v>
      </c>
      <c r="I8" s="39"/>
      <c r="J8" s="37">
        <f>NonCarbDaysProteinPerLb*WeightLb</f>
        <v>187</v>
      </c>
      <c r="K8" s="40">
        <f>NonCarbDaysProteinPerLb*WeightLb</f>
        <v>187</v>
      </c>
    </row>
    <row r="9" ht="14.25" customHeight="1">
      <c r="B9" s="44"/>
      <c r="C9" s="42" t="s">
        <v>41</v>
      </c>
      <c r="D9" s="45">
        <f>(D6-(D7*4)-(D8*4))/CalsFat</f>
        <v>29.92</v>
      </c>
      <c r="E9" s="46">
        <f>(E6-(E7*4)-(E8*4))/CalsFat</f>
        <v>29.92</v>
      </c>
      <c r="F9" s="46">
        <f>(F6-(F7*4)-(F8*4))/CalsFat</f>
        <v>29.92</v>
      </c>
      <c r="G9" s="46">
        <f>(G6-(G7*4)-(G8*4))/CalsFat</f>
        <v>0.8311111111</v>
      </c>
      <c r="H9" s="38">
        <f>CarbLoadFatAmount</f>
        <v>50</v>
      </c>
      <c r="I9" s="39"/>
      <c r="J9" s="37">
        <f>PowerWorkoutFatAmount</f>
        <v>40</v>
      </c>
      <c r="K9" s="40">
        <f>(K6-(K7*CalsCarb+K8*CalsProtein))/CalsFat</f>
        <v>103.7</v>
      </c>
    </row>
    <row r="10" ht="27.0" customHeight="1">
      <c r="B10" s="20" t="s">
        <v>42</v>
      </c>
      <c r="C10" s="21"/>
      <c r="D10" s="47"/>
      <c r="E10" s="48"/>
      <c r="F10" s="49"/>
      <c r="G10" s="50" t="s">
        <v>43</v>
      </c>
      <c r="H10" s="51" t="s">
        <v>43</v>
      </c>
      <c r="I10" s="39"/>
      <c r="J10" s="52"/>
      <c r="K10" s="53" t="s">
        <v>44</v>
      </c>
    </row>
    <row r="11" ht="14.25" customHeight="1">
      <c r="B11" s="54" t="s">
        <v>45</v>
      </c>
      <c r="C11" s="54"/>
      <c r="D11" s="55" t="str">
        <f>IF(D6=D7*CalsCarb+D8*CalsProtein+D9*CalsFat,"Good","Bad")</f>
        <v>Good</v>
      </c>
      <c r="E11" s="56" t="str">
        <f>IF(E6=E7*CalsCarb+E8*CalsProtein+E9*CalsFat,"Good","Bad")</f>
        <v>Good</v>
      </c>
      <c r="F11" s="56" t="str">
        <f>IF(F6=F7*CalsCarb+F8*CalsProtein+F9*CalsFat,"Good","Bad")</f>
        <v>Good</v>
      </c>
      <c r="G11" s="56" t="str">
        <f>IF(G6=G7*CalsCarb+G8*CalsProtein+G9*CalsFat,"Good","Bad")</f>
        <v>Good</v>
      </c>
      <c r="H11" s="56" t="str">
        <f>IF(H6=H7*CalsCarb+H8*CalsProtein+H9*CalsFat,"Good","Bad")</f>
        <v>Good</v>
      </c>
      <c r="I11" s="56" t="str">
        <f>IF(I6=I7*CalsCarb+I8*CalsProtein+I9*CalsFat,"Good","Bad")</f>
        <v>Good</v>
      </c>
      <c r="J11" s="56" t="str">
        <f>IF(J6=J7*CalsCarb+J8*CalsProtein+J9*CalsFat,"Good","Bad")</f>
        <v>Good</v>
      </c>
      <c r="K11" s="57" t="str">
        <f>IF(K6=K7*CalsCarb+K8*CalsProtein+K9*CalsFat,"Good","Bad")</f>
        <v>Good</v>
      </c>
    </row>
    <row r="12" ht="14.25" customHeight="1">
      <c r="B12" s="26"/>
      <c r="C12" s="26"/>
      <c r="D12" s="26"/>
      <c r="E12" s="26"/>
      <c r="F12" s="26"/>
      <c r="G12" s="26"/>
      <c r="H12" s="26"/>
      <c r="I12" s="26"/>
      <c r="J12" s="26"/>
      <c r="K12" s="26"/>
    </row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1">
    <mergeCell ref="H8:I8"/>
    <mergeCell ref="H9:I9"/>
    <mergeCell ref="B10:C10"/>
    <mergeCell ref="H10:I10"/>
    <mergeCell ref="B4:C4"/>
    <mergeCell ref="B5:C5"/>
    <mergeCell ref="F5:G5"/>
    <mergeCell ref="B6:C6"/>
    <mergeCell ref="H6:I6"/>
    <mergeCell ref="B7:B9"/>
    <mergeCell ref="H7:I7"/>
  </mergeCells>
  <dataValidations>
    <dataValidation type="custom" allowBlank="1" showErrorMessage="1" sqref="J6">
      <formula1>J7*4+J8*4+J9*9</formula1>
    </dataValidation>
    <dataValidation type="list" allowBlank="1" showErrorMessage="1" sqref="D5:F5 H5:K5">
      <formula1>TrainingTypes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6.14"/>
    <col customWidth="1" min="2" max="2" width="19.14"/>
    <col customWidth="1" min="3" max="3" width="15.29"/>
    <col customWidth="1" min="4" max="26" width="8.71"/>
  </cols>
  <sheetData>
    <row r="1" ht="14.25" customHeight="1"/>
    <row r="2" ht="14.25" customHeight="1">
      <c r="A2" s="58" t="s">
        <v>46</v>
      </c>
      <c r="B2" s="58">
        <v>4.0</v>
      </c>
    </row>
    <row r="3" ht="14.25" customHeight="1">
      <c r="A3" s="58" t="s">
        <v>47</v>
      </c>
      <c r="B3" s="58">
        <v>4.0</v>
      </c>
    </row>
    <row r="4" ht="14.25" customHeight="1">
      <c r="A4" s="58" t="s">
        <v>48</v>
      </c>
      <c r="B4" s="58">
        <v>9.0</v>
      </c>
    </row>
    <row r="5" ht="14.25" customHeight="1">
      <c r="A5" s="58" t="s">
        <v>49</v>
      </c>
      <c r="B5" s="58" t="s">
        <v>33</v>
      </c>
    </row>
    <row r="6" ht="14.25" customHeight="1">
      <c r="B6" s="58" t="s">
        <v>35</v>
      </c>
    </row>
    <row r="7" ht="14.25" customHeight="1">
      <c r="B7" s="58" t="s">
        <v>36</v>
      </c>
    </row>
    <row r="8" ht="14.25" customHeight="1">
      <c r="B8" s="58" t="s">
        <v>34</v>
      </c>
    </row>
    <row r="9" ht="14.25" customHeight="1">
      <c r="B9" s="58" t="s">
        <v>50</v>
      </c>
    </row>
    <row r="10" ht="14.25" customHeight="1"/>
    <row r="11" ht="14.25" customHeight="1">
      <c r="A11" s="58" t="s">
        <v>51</v>
      </c>
      <c r="B11" s="58" t="s">
        <v>24</v>
      </c>
      <c r="C11" s="58">
        <v>1.0</v>
      </c>
    </row>
    <row r="12" ht="14.25" customHeight="1">
      <c r="B12" s="58" t="s">
        <v>52</v>
      </c>
      <c r="C12" s="58">
        <v>2.0</v>
      </c>
    </row>
    <row r="13" ht="14.25" customHeight="1">
      <c r="B13" s="58" t="s">
        <v>53</v>
      </c>
      <c r="C13" s="58">
        <v>3.0</v>
      </c>
    </row>
    <row r="14" ht="14.25" customHeight="1">
      <c r="B14" s="58" t="s">
        <v>54</v>
      </c>
      <c r="C14" s="58">
        <v>4.0</v>
      </c>
    </row>
    <row r="15" ht="14.25" customHeight="1">
      <c r="B15" s="58" t="s">
        <v>28</v>
      </c>
      <c r="C15" s="58">
        <v>5.0</v>
      </c>
    </row>
    <row r="16" ht="14.25" customHeight="1">
      <c r="B16" s="58" t="s">
        <v>55</v>
      </c>
      <c r="C16" s="58">
        <v>6.0</v>
      </c>
    </row>
    <row r="17" ht="14.25" customHeight="1">
      <c r="B17" s="58" t="s">
        <v>56</v>
      </c>
      <c r="C17" s="58">
        <v>7.0</v>
      </c>
    </row>
    <row r="18" ht="14.25" customHeight="1"/>
    <row r="19" ht="14.25" customHeight="1">
      <c r="A19" s="58" t="s">
        <v>57</v>
      </c>
      <c r="B19" s="58" t="s">
        <v>8</v>
      </c>
      <c r="C19" s="58">
        <v>1.0</v>
      </c>
    </row>
    <row r="20" ht="14.25" customHeight="1">
      <c r="B20" s="58" t="s">
        <v>58</v>
      </c>
      <c r="C20" s="58">
        <v>2.2</v>
      </c>
    </row>
    <row r="21" ht="14.25" customHeight="1">
      <c r="B21" s="58" t="s">
        <v>59</v>
      </c>
      <c r="C21" s="58">
        <v>0.157473044418</v>
      </c>
    </row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56" width="8.71"/>
  </cols>
  <sheetData>
    <row r="1" ht="14.25" customHeight="1">
      <c r="A1" s="58">
        <f>IF('Исходные Данные'!8:8,"AAAAAHefVwA=",0)</f>
        <v>0</v>
      </c>
      <c r="B1" s="58" t="str">
        <f>AND('Исходные Данные'!B8,"AAAAAHefVwE=")</f>
        <v>#VALUE!</v>
      </c>
      <c r="C1" s="58" t="str">
        <f>AND('Исходные Данные'!C8,"AAAAAHefVwI=")</f>
        <v>#VALUE!</v>
      </c>
      <c r="D1" s="58" t="str">
        <f>AND('Исходные Данные'!D8,"AAAAAHefVwM=")</f>
        <v>#VALUE!</v>
      </c>
      <c r="E1" s="58" t="str">
        <f>AND('Исходные Данные'!E8,"AAAAAHefVwQ=")</f>
        <v>#VALUE!</v>
      </c>
      <c r="F1" s="58" t="str">
        <f>AND('Исходные Данные'!F8,"AAAAAHefVwU=")</f>
        <v>#VALUE!</v>
      </c>
      <c r="G1" s="58" t="str">
        <f>AND('Исходные Данные'!G8,"AAAAAHefVwY=")</f>
        <v>#VALUE!</v>
      </c>
      <c r="H1" s="58">
        <f>IF('Исходные Данные'!9:9,"AAAAAHefVwc=",0)</f>
        <v>0</v>
      </c>
      <c r="I1" s="58" t="str">
        <f>AND('Исходные Данные'!B9,"AAAAAHefVwg=")</f>
        <v>#VALUE!</v>
      </c>
      <c r="J1" s="58" t="str">
        <f>AND('Исходные Данные'!C9,"AAAAAHefVwk=")</f>
        <v>#VALUE!</v>
      </c>
      <c r="K1" s="58" t="str">
        <f>AND('Исходные Данные'!D9,"AAAAAHefVwo=")</f>
        <v>#VALUE!</v>
      </c>
      <c r="L1" s="58" t="str">
        <f>AND('Исходные Данные'!E9,"AAAAAHefVws=")</f>
        <v>#VALUE!</v>
      </c>
      <c r="M1" s="58" t="str">
        <f>AND('Исходные Данные'!F9,"AAAAAHefVww=")</f>
        <v>#VALUE!</v>
      </c>
      <c r="N1" s="58" t="str">
        <f>AND('Исходные Данные'!G9,"AAAAAHefVw0=")</f>
        <v>#VALUE!</v>
      </c>
      <c r="O1" s="58">
        <f>IF('Исходные Данные'!10:10,"AAAAAHefVw4=",0)</f>
        <v>0</v>
      </c>
      <c r="P1" s="58" t="str">
        <f>AND('Исходные Данные'!B11,"AAAAAHefVw8=")</f>
        <v>#VALUE!</v>
      </c>
      <c r="Q1" s="58" t="str">
        <f>AND('Исходные Данные'!#REF!,"AAAAAHefVxA=")</f>
        <v>#ERROR!</v>
      </c>
      <c r="R1" s="58" t="str">
        <f>AND('Исходные Данные'!E11,"AAAAAHefVxE=")</f>
        <v>#VALUE!</v>
      </c>
      <c r="S1" s="58" t="str">
        <f>AND('Исходные Данные'!E10,"AAAAAHefVxI=")</f>
        <v>#VALUE!</v>
      </c>
      <c r="T1" s="58" t="str">
        <f>AND('Исходные Данные'!G10,"AAAAAHefVxM=")</f>
        <v>#VALUE!</v>
      </c>
      <c r="U1" s="58" t="str">
        <f>AND('Исходные Данные'!H10,"AAAAAHefVxQ=")</f>
        <v>#VALUE!</v>
      </c>
      <c r="V1" s="58">
        <f>IF('Исходные Данные'!11:11,"AAAAAHefVxU=",0)</f>
        <v>0</v>
      </c>
      <c r="W1" s="58" t="str">
        <f>AND('Исходные Данные'!B12,"AAAAAHefVxY=")</f>
        <v>#VALUE!</v>
      </c>
      <c r="X1" s="58" t="str">
        <f>AND('Исходные Данные'!C11,"AAAAAHefVxc=")</f>
        <v>#VALUE!</v>
      </c>
      <c r="Y1" s="58" t="str">
        <f>AND('Исходные Данные'!E12,"AAAAAHefVxg=")</f>
        <v>#VALUE!</v>
      </c>
      <c r="Z1" s="58" t="str">
        <f>AND('Исходные Данные'!#REF!,"AAAAAHefVxk=")</f>
        <v>#ERROR!</v>
      </c>
      <c r="AA1" s="58" t="str">
        <f>AND('Исходные Данные'!G11,"AAAAAHefVxo=")</f>
        <v>#VALUE!</v>
      </c>
      <c r="AB1" s="58" t="str">
        <f>AND('Исходные Данные'!H11,"AAAAAHefVxs=")</f>
        <v>#VALUE!</v>
      </c>
      <c r="AC1" s="58" t="str">
        <f>IF('Исходные Данные'!12:12,"AAAAAHefVxw=",0)</f>
        <v>#VALUE!</v>
      </c>
      <c r="AD1" s="58" t="str">
        <f>AND('Исходные Данные'!B13,"AAAAAHefVx0=")</f>
        <v>#VALUE!</v>
      </c>
      <c r="AE1" s="58" t="str">
        <f>AND('Исходные Данные'!C13,"AAAAAHefVx4=")</f>
        <v>#VALUE!</v>
      </c>
      <c r="AF1" s="58" t="str">
        <f>AND('Исходные Данные'!E13,"AAAAAHefVx8=")</f>
        <v>#VALUE!</v>
      </c>
      <c r="AG1" s="58" t="str">
        <f>AND('Исходные Данные'!#REF!,"AAAAAHefVyA=")</f>
        <v>#ERROR!</v>
      </c>
      <c r="AH1" s="58" t="str">
        <f>AND('Исходные Данные'!G12,"AAAAAHefVyE=")</f>
        <v>#VALUE!</v>
      </c>
      <c r="AI1" s="58" t="str">
        <f>AND('Исходные Данные'!H12,"AAAAAHefVyI=")</f>
        <v>#VALUE!</v>
      </c>
      <c r="AJ1" s="58" t="str">
        <f>IF('Исходные Данные'!13:13,"AAAAAHefVyM=",0)</f>
        <v>#VALUE!</v>
      </c>
      <c r="AK1" s="58" t="str">
        <f>AND('Исходные Данные'!B16,"AAAAAHefVyQ=")</f>
        <v>#VALUE!</v>
      </c>
      <c r="AL1" s="58" t="str">
        <f>AND('Исходные Данные'!C16,"AAAAAHefVyU=")</f>
        <v>#VALUE!</v>
      </c>
      <c r="AM1" s="58" t="str">
        <f>AND('Исходные Данные'!E14,"AAAAAHefVyY=")</f>
        <v>#VALUE!</v>
      </c>
      <c r="AN1" s="58" t="str">
        <f>AND('Исходные Данные'!#REF!,"AAAAAHefVyc=")</f>
        <v>#ERROR!</v>
      </c>
      <c r="AO1" s="58" t="str">
        <f>AND('Исходные Данные'!G13,"AAAAAHefVyg=")</f>
        <v>#VALUE!</v>
      </c>
      <c r="AP1" s="58" t="str">
        <f>AND('Исходные Данные'!H13,"AAAAAHefVyk=")</f>
        <v>#VALUE!</v>
      </c>
      <c r="AQ1" s="58" t="str">
        <f>IF('Исходные Данные'!14:14,"AAAAAHefVyo=",0)</f>
        <v>#VALUE!</v>
      </c>
      <c r="AR1" s="58" t="str">
        <f>AND('Исходные Данные'!B17,"AAAAAHefVys=")</f>
        <v>#VALUE!</v>
      </c>
      <c r="AS1" s="58" t="str">
        <f>AND('Исходные Данные'!C17,"AAAAAHefVyw=")</f>
        <v>#VALUE!</v>
      </c>
      <c r="AT1" s="58" t="str">
        <f>AND('Исходные Данные'!D15,"AAAAAHefVy0=")</f>
        <v>#VALUE!</v>
      </c>
      <c r="AU1" s="58" t="str">
        <f>AND('Исходные Данные'!#REF!,"AAAAAHefVy4=")</f>
        <v>#ERROR!</v>
      </c>
      <c r="AV1" s="58" t="str">
        <f>AND('Исходные Данные'!G14,"AAAAAHefVy8=")</f>
        <v>#VALUE!</v>
      </c>
      <c r="AW1" s="58" t="str">
        <f>AND('Исходные Данные'!H14,"AAAAAHefVzA=")</f>
        <v>#VALUE!</v>
      </c>
      <c r="AX1" s="58" t="str">
        <f>IF('Исходные Данные'!15:15,"AAAAAHefVzE=",0)</f>
        <v>#VALUE!</v>
      </c>
      <c r="AY1" s="58" t="str">
        <f>AND('Исходные Данные'!B18,"AAAAAHefVzI=")</f>
        <v>#VALUE!</v>
      </c>
      <c r="AZ1" s="58" t="str">
        <f>AND('Исходные Данные'!C18,"AAAAAHefVzM=")</f>
        <v>#VALUE!</v>
      </c>
      <c r="BA1" s="58" t="str">
        <f>AND('Исходные Данные'!D16,"AAAAAHefVzQ=")</f>
        <v>#VALUE!</v>
      </c>
      <c r="BB1" s="58" t="str">
        <f>AND('Исходные Данные'!E15,"AAAAAHefVzU=")</f>
        <v>#VALUE!</v>
      </c>
      <c r="BC1" s="58" t="str">
        <f>AND('Исходные Данные'!G15,"AAAAAHefVzY=")</f>
        <v>#VALUE!</v>
      </c>
      <c r="BD1" s="58" t="str">
        <f>AND('Исходные Данные'!H15,"AAAAAHefVzc=")</f>
        <v>#VALUE!</v>
      </c>
      <c r="BE1" s="58" t="str">
        <f>IF('Исходные Данные'!16:16,"AAAAAHefVzg=",0)</f>
        <v>#VALUE!</v>
      </c>
      <c r="BF1" s="58" t="str">
        <f>AND('Исходные Данные'!B19,"AAAAAHefVzk=")</f>
        <v>#VALUE!</v>
      </c>
      <c r="BG1" s="58" t="str">
        <f>AND('Исходные Данные'!C19,"AAAAAHefVzo=")</f>
        <v>#VALUE!</v>
      </c>
      <c r="BH1" s="58" t="str">
        <f>AND('Исходные Данные'!D17,"AAAAAHefVzs=")</f>
        <v>#VALUE!</v>
      </c>
      <c r="BI1" s="58" t="str">
        <f>AND('Исходные Данные'!E16,"AAAAAHefVzw=")</f>
        <v>#VALUE!</v>
      </c>
      <c r="BJ1" s="58" t="str">
        <f>AND('Исходные Данные'!G16,"AAAAAHefVz0=")</f>
        <v>#VALUE!</v>
      </c>
      <c r="BK1" s="58" t="str">
        <f>AND('Исходные Данные'!H16,"AAAAAHefVz4=")</f>
        <v>#VALUE!</v>
      </c>
      <c r="BL1" s="58" t="str">
        <f>IF('Исходные Данные'!17:17,"AAAAAHefVz8=",0)</f>
        <v>#VALUE!</v>
      </c>
      <c r="BM1" s="58" t="str">
        <f>AND('Исходные Данные'!B20,"AAAAAHefV0A=")</f>
        <v>#VALUE!</v>
      </c>
      <c r="BN1" s="58" t="str">
        <f>AND('Исходные Данные'!C20,"AAAAAHefV0E=")</f>
        <v>#VALUE!</v>
      </c>
      <c r="BO1" s="58" t="str">
        <f>AND('Исходные Данные'!D18,"AAAAAHefV0I=")</f>
        <v>#VALUE!</v>
      </c>
      <c r="BP1" s="58" t="str">
        <f>AND('Исходные Данные'!E17,"AAAAAHefV0M=")</f>
        <v>#VALUE!</v>
      </c>
      <c r="BQ1" s="58" t="str">
        <f>AND('Исходные Данные'!G17,"AAAAAHefV0Q=")</f>
        <v>#VALUE!</v>
      </c>
      <c r="BR1" s="58" t="str">
        <f>AND('Исходные Данные'!H17,"AAAAAHefV0U=")</f>
        <v>#VALUE!</v>
      </c>
      <c r="BS1" s="58" t="str">
        <f>IF('Исходные Данные'!18:18,"AAAAAHefV0Y=",0)</f>
        <v>#VALUE!</v>
      </c>
      <c r="BT1" s="58" t="str">
        <f>AND('Исходные Данные'!B21,"AAAAAHefV0c=")</f>
        <v>#VALUE!</v>
      </c>
      <c r="BU1" s="58" t="str">
        <f>AND('Исходные Данные'!C21,"AAAAAHefV0g=")</f>
        <v>#VALUE!</v>
      </c>
      <c r="BV1" s="58" t="str">
        <f>AND('Исходные Данные'!D19,"AAAAAHefV0k=")</f>
        <v>#VALUE!</v>
      </c>
      <c r="BW1" s="58" t="str">
        <f>AND('Исходные Данные'!E18,"AAAAAHefV0o=")</f>
        <v>#VALUE!</v>
      </c>
      <c r="BX1" s="58" t="str">
        <f>AND('Исходные Данные'!G18,"AAAAAHefV0s=")</f>
        <v>#VALUE!</v>
      </c>
      <c r="BY1" s="58" t="str">
        <f>AND('Исходные Данные'!H18,"AAAAAHefV0w=")</f>
        <v>#VALUE!</v>
      </c>
      <c r="BZ1" s="58" t="str">
        <f>IF('Исходные Данные'!19:19,"AAAAAHefV00=",0)</f>
        <v>#VALUE!</v>
      </c>
      <c r="CA1" s="58" t="str">
        <f>AND('Исходные Данные'!B22,"AAAAAHefV04=")</f>
        <v>#VALUE!</v>
      </c>
      <c r="CB1" s="58" t="str">
        <f>AND('Исходные Данные'!C22,"AAAAAHefV08=")</f>
        <v>#VALUE!</v>
      </c>
      <c r="CC1" s="58" t="str">
        <f>AND('Исходные Данные'!D20,"AAAAAHefV1A=")</f>
        <v>#VALUE!</v>
      </c>
      <c r="CD1" s="58" t="str">
        <f>AND('Исходные Данные'!E19,"AAAAAHefV1E=")</f>
        <v>#VALUE!</v>
      </c>
      <c r="CE1" s="58" t="str">
        <f>AND('Исходные Данные'!G19,"AAAAAHefV1I=")</f>
        <v>#VALUE!</v>
      </c>
      <c r="CF1" s="58" t="str">
        <f>AND('Исходные Данные'!H19,"AAAAAHefV1M=")</f>
        <v>#VALUE!</v>
      </c>
      <c r="CG1" s="58" t="str">
        <f>IF('Исходные Данные'!20:20,"AAAAAHefV1Q=",0)</f>
        <v>#VALUE!</v>
      </c>
      <c r="CH1" s="58" t="str">
        <f>AND('Исходные Данные'!B10,"AAAAAHefV1U=")</f>
        <v>#VALUE!</v>
      </c>
      <c r="CI1" s="58" t="str">
        <f>AND('Исходные Данные'!D11,"AAAAAHefV1Y=")</f>
        <v>#VALUE!</v>
      </c>
      <c r="CJ1" s="58" t="str">
        <f>AND('Исходные Данные'!D21,"AAAAAHefV1c=")</f>
        <v>#VALUE!</v>
      </c>
      <c r="CK1" s="58" t="str">
        <f>AND('Исходные Данные'!E20,"AAAAAHefV1g=")</f>
        <v>#VALUE!</v>
      </c>
      <c r="CL1" s="58" t="str">
        <f>AND('Исходные Данные'!G20,"AAAAAHefV1k=")</f>
        <v>#VALUE!</v>
      </c>
      <c r="CM1" s="58" t="str">
        <f>AND('Исходные Данные'!H20,"AAAAAHefV1o=")</f>
        <v>#VALUE!</v>
      </c>
      <c r="CN1" s="58" t="str">
        <f>IF('Исходные Данные'!21:21,"AAAAAHefV1s=",0)</f>
        <v>#VALUE!</v>
      </c>
      <c r="CO1" s="58" t="str">
        <f>AND('Исходные Данные'!#REF!,"AAAAAHefV1w=")</f>
        <v>#ERROR!</v>
      </c>
      <c r="CP1" s="58" t="str">
        <f>AND('Исходные Данные'!#REF!,"AAAAAHefV10=")</f>
        <v>#ERROR!</v>
      </c>
      <c r="CQ1" s="58" t="str">
        <f>AND('Исходные Данные'!D22,"AAAAAHefV14=")</f>
        <v>#VALUE!</v>
      </c>
      <c r="CR1" s="58" t="str">
        <f>AND('Исходные Данные'!E21,"AAAAAHefV18=")</f>
        <v>#VALUE!</v>
      </c>
      <c r="CS1" s="58" t="str">
        <f>AND('Исходные Данные'!G21,"AAAAAHefV2A=")</f>
        <v>#VALUE!</v>
      </c>
      <c r="CT1" s="58" t="str">
        <f>AND('Исходные Данные'!H21,"AAAAAHefV2E=")</f>
        <v>#VALUE!</v>
      </c>
      <c r="CU1" s="58" t="str">
        <f>IF('Исходные Данные'!22:22,"AAAAAHefV2I=",0)</f>
        <v>#VALUE!</v>
      </c>
      <c r="CV1" s="58" t="str">
        <f>AND('Исходные Данные'!#REF!,"AAAAAHefV2M=")</f>
        <v>#ERROR!</v>
      </c>
      <c r="CW1" s="58" t="str">
        <f>AND('Исходные Данные'!#REF!,"AAAAAHefV2Q=")</f>
        <v>#ERROR!</v>
      </c>
      <c r="CX1" s="58" t="str">
        <f>AND('Исходные Данные'!D23,"AAAAAHefV2U=")</f>
        <v>#VALUE!</v>
      </c>
      <c r="CY1" s="58" t="str">
        <f>AND('Исходные Данные'!E22,"AAAAAHefV2Y=")</f>
        <v>#VALUE!</v>
      </c>
      <c r="CZ1" s="58" t="str">
        <f>AND('Исходные Данные'!G22,"AAAAAHefV2c=")</f>
        <v>#VALUE!</v>
      </c>
      <c r="DA1" s="58" t="str">
        <f>AND('Исходные Данные'!H22,"AAAAAHefV2g=")</f>
        <v>#VALUE!</v>
      </c>
      <c r="DB1" s="58" t="str">
        <f>IF('Исходные Данные'!23:23,"AAAAAHefV2k=",0)</f>
        <v>#VALUE!</v>
      </c>
      <c r="DC1" s="58" t="str">
        <f>AND('Исходные Данные'!#REF!,"AAAAAHefV2o=")</f>
        <v>#ERROR!</v>
      </c>
      <c r="DD1" s="58" t="str">
        <f>AND('Исходные Данные'!#REF!,"AAAAAHefV2s=")</f>
        <v>#ERROR!</v>
      </c>
      <c r="DE1" s="58" t="str">
        <f>AND('Исходные Данные'!#REF!,"AAAAAHefV2w=")</f>
        <v>#ERROR!</v>
      </c>
      <c r="DF1" s="58" t="str">
        <f>AND('Исходные Данные'!E23,"AAAAAHefV20=")</f>
        <v>#VALUE!</v>
      </c>
      <c r="DG1" s="58" t="str">
        <f>AND('Исходные Данные'!G23,"AAAAAHefV24=")</f>
        <v>#VALUE!</v>
      </c>
      <c r="DH1" s="58" t="str">
        <f>AND('Исходные Данные'!H23,"AAAAAHefV28=")</f>
        <v>#VALUE!</v>
      </c>
      <c r="DI1" s="58" t="str">
        <f>IF('Исходные Данные'!24:24,"AAAAAHefV3A=",0)</f>
        <v>#VALUE!</v>
      </c>
      <c r="DJ1" s="58" t="str">
        <f>AND('Исходные Данные'!B24,"AAAAAHefV3E=")</f>
        <v>#VALUE!</v>
      </c>
      <c r="DK1" s="58" t="str">
        <f>AND('Исходные Данные'!C24,"AAAAAHefV3I=")</f>
        <v>#VALUE!</v>
      </c>
      <c r="DL1" s="58" t="str">
        <f>AND('Исходные Данные'!D24,"AAAAAHefV3M=")</f>
        <v>#VALUE!</v>
      </c>
      <c r="DM1" s="58" t="str">
        <f>AND('Исходные Данные'!E24,"AAAAAHefV3Q=")</f>
        <v>#VALUE!</v>
      </c>
      <c r="DN1" s="58" t="str">
        <f>AND('Исходные Данные'!#REF!,"AAAAAHefV3U=")</f>
        <v>#ERROR!</v>
      </c>
      <c r="DO1" s="58" t="str">
        <f>AND('Исходные Данные'!H24,"AAAAAHefV3Y=")</f>
        <v>#VALUE!</v>
      </c>
      <c r="DP1" s="58" t="str">
        <f>IF('Исходные Данные'!25:25,"AAAAAHefV3c=",0)</f>
        <v>#VALUE!</v>
      </c>
      <c r="DQ1" s="58" t="str">
        <f>AND('Исходные Данные'!B25,"AAAAAHefV3g=")</f>
        <v>#VALUE!</v>
      </c>
      <c r="DR1" s="58" t="str">
        <f>AND('Исходные Данные'!C25,"AAAAAHefV3k=")</f>
        <v>#VALUE!</v>
      </c>
      <c r="DS1" s="58" t="str">
        <f>AND('Исходные Данные'!D25,"AAAAAHefV3o=")</f>
        <v>#VALUE!</v>
      </c>
      <c r="DT1" s="58" t="str">
        <f>AND('Исходные Данные'!E25,"AAAAAHefV3s=")</f>
        <v>#VALUE!</v>
      </c>
      <c r="DU1" s="58" t="str">
        <f>AND('Исходные Данные'!G25,"AAAAAHefV3w=")</f>
        <v>#VALUE!</v>
      </c>
      <c r="DV1" s="58" t="str">
        <f>AND('Исходные Данные'!H25,"AAAAAHefV30=")</f>
        <v>#VALUE!</v>
      </c>
      <c r="DW1" s="58" t="str">
        <f>IF('Исходные Данные'!26:26,"AAAAAHefV34=",0)</f>
        <v>#VALUE!</v>
      </c>
      <c r="DX1" s="58" t="str">
        <f>AND('Исходные Данные'!B26,"AAAAAHefV38=")</f>
        <v>#VALUE!</v>
      </c>
      <c r="DY1" s="58" t="str">
        <f>AND('Исходные Данные'!C26,"AAAAAHefV4A=")</f>
        <v>#VALUE!</v>
      </c>
      <c r="DZ1" s="58" t="str">
        <f>AND('Исходные Данные'!D26,"AAAAAHefV4E=")</f>
        <v>#VALUE!</v>
      </c>
      <c r="EA1" s="58" t="str">
        <f>AND('Исходные Данные'!E26,"AAAAAHefV4I=")</f>
        <v>#VALUE!</v>
      </c>
      <c r="EB1" s="58" t="str">
        <f>AND('Исходные Данные'!G26,"AAAAAHefV4M=")</f>
        <v>#VALUE!</v>
      </c>
      <c r="EC1" s="58" t="str">
        <f>AND('Исходные Данные'!H26,"AAAAAHefV4Q=")</f>
        <v>#VALUE!</v>
      </c>
      <c r="ED1" s="58" t="str">
        <f>IF('Исходные Данные'!27:27,"AAAAAHefV4U=",0)</f>
        <v>#VALUE!</v>
      </c>
      <c r="EE1" s="58" t="str">
        <f>AND('Исходные Данные'!B27,"AAAAAHefV4Y=")</f>
        <v>#VALUE!</v>
      </c>
      <c r="EF1" s="58" t="str">
        <f>AND('Исходные Данные'!C27,"AAAAAHefV4c=")</f>
        <v>#VALUE!</v>
      </c>
      <c r="EG1" s="58" t="str">
        <f>AND('Исходные Данные'!D27,"AAAAAHefV4g=")</f>
        <v>#VALUE!</v>
      </c>
      <c r="EH1" s="58" t="str">
        <f>AND('Исходные Данные'!E27,"AAAAAHefV4k=")</f>
        <v>#VALUE!</v>
      </c>
      <c r="EI1" s="58" t="str">
        <f>AND('Исходные Данные'!G27,"AAAAAHefV4o=")</f>
        <v>#VALUE!</v>
      </c>
      <c r="EJ1" s="58" t="str">
        <f>AND('Исходные Данные'!H27,"AAAAAHefV4s=")</f>
        <v>#VALUE!</v>
      </c>
      <c r="EK1" s="58" t="str">
        <f>IF('Исходные Данные'!28:28,"AAAAAHefV4w=",0)</f>
        <v>#VALUE!</v>
      </c>
      <c r="EL1" s="58" t="str">
        <f>AND('Исходные Данные'!B28,"AAAAAHefV40=")</f>
        <v>#VALUE!</v>
      </c>
      <c r="EM1" s="58" t="str">
        <f>AND('Исходные Данные'!C28,"AAAAAHefV44=")</f>
        <v>#VALUE!</v>
      </c>
      <c r="EN1" s="58" t="str">
        <f>AND('Исходные Данные'!D28,"AAAAAHefV48=")</f>
        <v>#VALUE!</v>
      </c>
      <c r="EO1" s="58" t="str">
        <f>AND('Исходные Данные'!E28,"AAAAAHefV5A=")</f>
        <v>#VALUE!</v>
      </c>
      <c r="EP1" s="58" t="str">
        <f>AND('Исходные Данные'!F28,"AAAAAHefV5E=")</f>
        <v>#VALUE!</v>
      </c>
      <c r="EQ1" s="58" t="str">
        <f>AND('Исходные Данные'!G28,"AAAAAHefV5I=")</f>
        <v>#VALUE!</v>
      </c>
      <c r="ER1" s="58" t="str">
        <f>IF('Исходные Данные'!29:29,"AAAAAHefV5M=",0)</f>
        <v>#VALUE!</v>
      </c>
      <c r="ES1" s="58" t="str">
        <f>AND('Исходные Данные'!B29,"AAAAAHefV5Q=")</f>
        <v>#VALUE!</v>
      </c>
      <c r="ET1" s="58" t="str">
        <f>AND('Исходные Данные'!C29,"AAAAAHefV5U=")</f>
        <v>#VALUE!</v>
      </c>
      <c r="EU1" s="58" t="str">
        <f>AND('Исходные Данные'!D29,"AAAAAHefV5Y=")</f>
        <v>#VALUE!</v>
      </c>
      <c r="EV1" s="58" t="str">
        <f>AND('Исходные Данные'!E29,"AAAAAHefV5c=")</f>
        <v>#VALUE!</v>
      </c>
      <c r="EW1" s="58" t="str">
        <f>AND('Исходные Данные'!F29,"AAAAAHefV5g=")</f>
        <v>#VALUE!</v>
      </c>
      <c r="EX1" s="58" t="str">
        <f>AND('Исходные Данные'!G29,"AAAAAHefV5k=")</f>
        <v>#VALUE!</v>
      </c>
      <c r="EY1" s="58" t="str">
        <f>IF('Исходные Данные'!30:30,"AAAAAHefV5o=",0)</f>
        <v>#VALUE!</v>
      </c>
      <c r="EZ1" s="58" t="str">
        <f>AND('Исходные Данные'!B30,"AAAAAHefV5s=")</f>
        <v>#VALUE!</v>
      </c>
      <c r="FA1" s="58" t="str">
        <f>AND('Исходные Данные'!C30,"AAAAAHefV5w=")</f>
        <v>#VALUE!</v>
      </c>
      <c r="FB1" s="58" t="str">
        <f>AND('Исходные Данные'!D30,"AAAAAHefV50=")</f>
        <v>#VALUE!</v>
      </c>
      <c r="FC1" s="58" t="str">
        <f>AND('Исходные Данные'!E30,"AAAAAHefV54=")</f>
        <v>#VALUE!</v>
      </c>
      <c r="FD1" s="58" t="str">
        <f>AND('Исходные Данные'!F30,"AAAAAHefV58=")</f>
        <v>#VALUE!</v>
      </c>
      <c r="FE1" s="58" t="str">
        <f>AND('Исходные Данные'!G30,"AAAAAHefV6A=")</f>
        <v>#VALUE!</v>
      </c>
      <c r="FF1" s="58" t="str">
        <f>IF('Исходные Данные'!31:31,"AAAAAHefV6E=",0)</f>
        <v>#VALUE!</v>
      </c>
      <c r="FG1" s="58" t="str">
        <f>AND('Исходные Данные'!B31,"AAAAAHefV6I=")</f>
        <v>#VALUE!</v>
      </c>
      <c r="FH1" s="58" t="str">
        <f>AND('Исходные Данные'!C31,"AAAAAHefV6M=")</f>
        <v>#VALUE!</v>
      </c>
      <c r="FI1" s="58" t="str">
        <f>AND('Исходные Данные'!D31,"AAAAAHefV6Q=")</f>
        <v>#VALUE!</v>
      </c>
      <c r="FJ1" s="58" t="str">
        <f>AND('Исходные Данные'!E31,"AAAAAHefV6U=")</f>
        <v>#VALUE!</v>
      </c>
      <c r="FK1" s="58" t="str">
        <f>AND('Исходные Данные'!F31,"AAAAAHefV6Y=")</f>
        <v>#VALUE!</v>
      </c>
      <c r="FL1" s="58" t="str">
        <f>AND('Исходные Данные'!G24,"AAAAAHefV6c=")</f>
        <v>#VALUE!</v>
      </c>
      <c r="FM1" s="58">
        <f>IF('Исходные Данные'!B:B,"AAAAAHefV6g=",0)</f>
        <v>0</v>
      </c>
      <c r="FN1" s="58">
        <f>IF('Исходные Данные'!C:C,"AAAAAHefV6k=",0)</f>
        <v>0</v>
      </c>
      <c r="FO1" s="58">
        <f>IF('Исходные Данные'!D:D,"AAAAAHefV6o=",0)</f>
        <v>0</v>
      </c>
      <c r="FP1" s="58">
        <f>IF('Исходные Данные'!E:E,"AAAAAHefV6s=",0)</f>
        <v>0</v>
      </c>
      <c r="FQ1" s="58">
        <f>IF('Исходные Данные'!F:F,"AAAAAHefV6w=",0)</f>
        <v>0</v>
      </c>
      <c r="FR1" s="58">
        <f>IF('Исходные Данные'!G:G,"AAAAAHefV60=",0)</f>
        <v>0</v>
      </c>
      <c r="FS1" s="58" t="str">
        <f>IF('РЕЗУЛЬТАТ'!1:1,"AAAAAHefV64=",0)</f>
        <v>#VALUE!</v>
      </c>
      <c r="FT1" s="58" t="str">
        <f>AND('РЕЗУЛЬТАТ'!B1,"AAAAAHefV68=")</f>
        <v>#VALUE!</v>
      </c>
      <c r="FU1" s="58" t="str">
        <f>AND('РЕЗУЛЬТАТ'!C1,"AAAAAHefV7A=")</f>
        <v>#VALUE!</v>
      </c>
      <c r="FV1" s="58" t="str">
        <f>AND('РЕЗУЛЬТАТ'!D1,"AAAAAHefV7E=")</f>
        <v>#VALUE!</v>
      </c>
      <c r="FW1" s="58" t="str">
        <f>AND('РЕЗУЛЬТАТ'!E1,"AAAAAHefV7I=")</f>
        <v>#VALUE!</v>
      </c>
      <c r="FX1" s="58" t="str">
        <f>AND('РЕЗУЛЬТАТ'!F1,"AAAAAHefV7M=")</f>
        <v>#VALUE!</v>
      </c>
      <c r="FY1" s="58" t="str">
        <f>AND('РЕЗУЛЬТАТ'!G1,"AAAAAHefV7Q=")</f>
        <v>#VALUE!</v>
      </c>
      <c r="FZ1" s="58" t="str">
        <f>AND('РЕЗУЛЬТАТ'!H1,"AAAAAHefV7U=")</f>
        <v>#VALUE!</v>
      </c>
      <c r="GA1" s="58" t="str">
        <f>AND('РЕЗУЛЬТАТ'!I1,"AAAAAHefV7Y=")</f>
        <v>#VALUE!</v>
      </c>
      <c r="GB1" s="58" t="str">
        <f>AND('РЕЗУЛЬТАТ'!J1,"AAAAAHefV7c=")</f>
        <v>#VALUE!</v>
      </c>
      <c r="GC1" s="58" t="str">
        <f>AND('РЕЗУЛЬТАТ'!K1,"AAAAAHefV7g=")</f>
        <v>#VALUE!</v>
      </c>
      <c r="GD1" s="58" t="str">
        <f>IF('РЕЗУЛЬТАТ'!2:2,"AAAAAHefV7k=",0)</f>
        <v>#VALUE!</v>
      </c>
      <c r="GE1" s="58" t="str">
        <f>AND('РЕЗУЛЬТАТ'!B2,"AAAAAHefV7o=")</f>
        <v>#VALUE!</v>
      </c>
      <c r="GF1" s="58" t="str">
        <f>AND('РЕЗУЛЬТАТ'!C2,"AAAAAHefV7s=")</f>
        <v>#VALUE!</v>
      </c>
      <c r="GG1" s="58" t="str">
        <f>AND('РЕЗУЛЬТАТ'!D2,"AAAAAHefV7w=")</f>
        <v>#VALUE!</v>
      </c>
      <c r="GH1" s="58" t="str">
        <f>AND('РЕЗУЛЬТАТ'!E2,"AAAAAHefV70=")</f>
        <v>#VALUE!</v>
      </c>
      <c r="GI1" s="58" t="str">
        <f>AND('РЕЗУЛЬТАТ'!F2,"AAAAAHefV74=")</f>
        <v>#VALUE!</v>
      </c>
      <c r="GJ1" s="58" t="str">
        <f>AND('РЕЗУЛЬТАТ'!G2,"AAAAAHefV78=")</f>
        <v>#VALUE!</v>
      </c>
      <c r="GK1" s="58" t="str">
        <f>AND('РЕЗУЛЬТАТ'!H2,"AAAAAHefV8A=")</f>
        <v>#VALUE!</v>
      </c>
      <c r="GL1" s="58" t="str">
        <f>AND('РЕЗУЛЬТАТ'!I2,"AAAAAHefV8E=")</f>
        <v>#VALUE!</v>
      </c>
      <c r="GM1" s="58" t="str">
        <f>AND('РЕЗУЛЬТАТ'!J2,"AAAAAHefV8I=")</f>
        <v>#VALUE!</v>
      </c>
      <c r="GN1" s="58" t="str">
        <f>AND('РЕЗУЛЬТАТ'!K2,"AAAAAHefV8M=")</f>
        <v>#VALUE!</v>
      </c>
      <c r="GO1" s="58" t="str">
        <f>IF('РЕЗУЛЬТАТ'!3:3,"AAAAAHefV8Q=",0)</f>
        <v>#VALUE!</v>
      </c>
      <c r="GP1" s="58" t="str">
        <f>AND('РЕЗУЛЬТАТ'!B3,"AAAAAHefV8U=")</f>
        <v>#VALUE!</v>
      </c>
      <c r="GQ1" s="58" t="str">
        <f>AND('РЕЗУЛЬТАТ'!C3,"AAAAAHefV8Y=")</f>
        <v>#VALUE!</v>
      </c>
      <c r="GR1" s="58" t="str">
        <f>AND('РЕЗУЛЬТАТ'!D3,"AAAAAHefV8c=")</f>
        <v>#VALUE!</v>
      </c>
      <c r="GS1" s="58" t="str">
        <f>AND('РЕЗУЛЬТАТ'!E3,"AAAAAHefV8g=")</f>
        <v>#VALUE!</v>
      </c>
      <c r="GT1" s="58" t="str">
        <f>AND('РЕЗУЛЬТАТ'!F3,"AAAAAHefV8k=")</f>
        <v>#VALUE!</v>
      </c>
      <c r="GU1" s="58" t="str">
        <f>AND('РЕЗУЛЬТАТ'!G3,"AAAAAHefV8o=")</f>
        <v>#VALUE!</v>
      </c>
      <c r="GV1" s="58" t="str">
        <f>AND('РЕЗУЛЬТАТ'!H3,"AAAAAHefV8s=")</f>
        <v>#VALUE!</v>
      </c>
      <c r="GW1" s="58" t="str">
        <f>AND('РЕЗУЛЬТАТ'!I3,"AAAAAHefV8w=")</f>
        <v>#VALUE!</v>
      </c>
      <c r="GX1" s="58" t="str">
        <f>AND('РЕЗУЛЬТАТ'!J3,"AAAAAHefV80=")</f>
        <v>#VALUE!</v>
      </c>
      <c r="GY1" s="58" t="str">
        <f>AND('РЕЗУЛЬТАТ'!K3,"AAAAAHefV84=")</f>
        <v>#VALUE!</v>
      </c>
      <c r="GZ1" s="58" t="str">
        <f>IF('РЕЗУЛЬТАТ'!4:4,"AAAAAHefV88=",0)</f>
        <v>#VALUE!</v>
      </c>
      <c r="HA1" s="58" t="str">
        <f>AND('РЕЗУЛЬТАТ'!B4,"AAAAAHefV9A=")</f>
        <v>#VALUE!</v>
      </c>
      <c r="HB1" s="58" t="str">
        <f>AND('РЕЗУЛЬТАТ'!C4,"AAAAAHefV9E=")</f>
        <v>#VALUE!</v>
      </c>
      <c r="HC1" s="58" t="str">
        <f>AND('РЕЗУЛЬТАТ'!D4,"AAAAAHefV9I=")</f>
        <v>#VALUE!</v>
      </c>
      <c r="HD1" s="58" t="str">
        <f>AND('РЕЗУЛЬТАТ'!E4,"AAAAAHefV9M=")</f>
        <v>#VALUE!</v>
      </c>
      <c r="HE1" s="58" t="str">
        <f>AND('РЕЗУЛЬТАТ'!F4,"AAAAAHefV9Q=")</f>
        <v>#VALUE!</v>
      </c>
      <c r="HF1" s="58" t="str">
        <f>AND('РЕЗУЛЬТАТ'!G4,"AAAAAHefV9U=")</f>
        <v>#VALUE!</v>
      </c>
      <c r="HG1" s="58" t="str">
        <f>AND('РЕЗУЛЬТАТ'!H4,"AAAAAHefV9Y=")</f>
        <v>#VALUE!</v>
      </c>
      <c r="HH1" s="58" t="str">
        <f>AND('РЕЗУЛЬТАТ'!I4,"AAAAAHefV9c=")</f>
        <v>#VALUE!</v>
      </c>
      <c r="HI1" s="58" t="str">
        <f>AND('РЕЗУЛЬТАТ'!J4,"AAAAAHefV9g=")</f>
        <v>#VALUE!</v>
      </c>
      <c r="HJ1" s="58" t="str">
        <f>AND('РЕЗУЛЬТАТ'!K4,"AAAAAHefV9k=")</f>
        <v>#VALUE!</v>
      </c>
      <c r="HK1" s="58" t="str">
        <f>IF('РЕЗУЛЬТАТ'!5:5,"AAAAAHefV9o=",0)</f>
        <v>#VALUE!</v>
      </c>
      <c r="HL1" s="58" t="str">
        <f>AND('РЕЗУЛЬТАТ'!B5,"AAAAAHefV9s=")</f>
        <v>#VALUE!</v>
      </c>
      <c r="HM1" s="58" t="str">
        <f>AND('РЕЗУЛЬТАТ'!C5,"AAAAAHefV9w=")</f>
        <v>#VALUE!</v>
      </c>
      <c r="HN1" s="58" t="str">
        <f>AND('РЕЗУЛЬТАТ'!D5,"AAAAAHefV90=")</f>
        <v>#VALUE!</v>
      </c>
      <c r="HO1" s="58" t="str">
        <f>AND('РЕЗУЛЬТАТ'!E5,"AAAAAHefV94=")</f>
        <v>#VALUE!</v>
      </c>
      <c r="HP1" s="58" t="str">
        <f>AND('РЕЗУЛЬТАТ'!F5,"AAAAAHefV98=")</f>
        <v>#VALUE!</v>
      </c>
      <c r="HQ1" s="58" t="str">
        <f>AND('РЕЗУЛЬТАТ'!G5,"AAAAAHefV+A=")</f>
        <v>#VALUE!</v>
      </c>
      <c r="HR1" s="58" t="str">
        <f>AND('РЕЗУЛЬТАТ'!H5,"AAAAAHefV+E=")</f>
        <v>#VALUE!</v>
      </c>
      <c r="HS1" s="58" t="str">
        <f>AND('РЕЗУЛЬТАТ'!I5,"AAAAAHefV+I=")</f>
        <v>#VALUE!</v>
      </c>
      <c r="HT1" s="58" t="str">
        <f>AND('РЕЗУЛЬТАТ'!J5,"AAAAAHefV+M=")</f>
        <v>#VALUE!</v>
      </c>
      <c r="HU1" s="58" t="str">
        <f>AND('РЕЗУЛЬТАТ'!K5,"AAAAAHefV+Q=")</f>
        <v>#VALUE!</v>
      </c>
      <c r="HV1" s="58" t="str">
        <f>IF('РЕЗУЛЬТАТ'!6:6,"AAAAAHefV+U=",0)</f>
        <v>#VALUE!</v>
      </c>
      <c r="HW1" s="58" t="str">
        <f>AND('РЕЗУЛЬТАТ'!B6,"AAAAAHefV+Y=")</f>
        <v>#VALUE!</v>
      </c>
      <c r="HX1" s="58" t="str">
        <f>AND('РЕЗУЛЬТАТ'!C6,"AAAAAHefV+c=")</f>
        <v>#VALUE!</v>
      </c>
      <c r="HY1" s="58" t="str">
        <f>AND('РЕЗУЛЬТАТ'!D6,"AAAAAHefV+g=")</f>
        <v>#VALUE!</v>
      </c>
      <c r="HZ1" s="58" t="str">
        <f>AND('РЕЗУЛЬТАТ'!E6,"AAAAAHefV+k=")</f>
        <v>#VALUE!</v>
      </c>
      <c r="IA1" s="58" t="str">
        <f>AND('РЕЗУЛЬТАТ'!F6,"AAAAAHefV+o=")</f>
        <v>#VALUE!</v>
      </c>
      <c r="IB1" s="58" t="str">
        <f>AND('РЕЗУЛЬТАТ'!G6,"AAAAAHefV+s=")</f>
        <v>#VALUE!</v>
      </c>
      <c r="IC1" s="58" t="str">
        <f>AND('РЕЗУЛЬТАТ'!H6,"AAAAAHefV+w=")</f>
        <v>#VALUE!</v>
      </c>
      <c r="ID1" s="58" t="str">
        <f>AND('РЕЗУЛЬТАТ'!I6,"AAAAAHefV+0=")</f>
        <v>#VALUE!</v>
      </c>
      <c r="IE1" s="58" t="str">
        <f>AND('РЕЗУЛЬТАТ'!J6,"AAAAAHefV+4=")</f>
        <v>#VALUE!</v>
      </c>
      <c r="IF1" s="58" t="str">
        <f>AND('РЕЗУЛЬТАТ'!K6,"AAAAAHefV+8=")</f>
        <v>#VALUE!</v>
      </c>
      <c r="IG1" s="58" t="str">
        <f>IF('РЕЗУЛЬТАТ'!7:7,"AAAAAHefV/A=",0)</f>
        <v>#VALUE!</v>
      </c>
      <c r="IH1" s="58" t="str">
        <f>AND('РЕЗУЛЬТАТ'!B7,"AAAAAHefV/E=")</f>
        <v>#VALUE!</v>
      </c>
      <c r="II1" s="58" t="str">
        <f>AND('РЕЗУЛЬТАТ'!C7,"AAAAAHefV/I=")</f>
        <v>#VALUE!</v>
      </c>
      <c r="IJ1" s="58" t="str">
        <f>AND('РЕЗУЛЬТАТ'!D7,"AAAAAHefV/M=")</f>
        <v>#VALUE!</v>
      </c>
      <c r="IK1" s="58" t="str">
        <f>AND('РЕЗУЛЬТАТ'!E7,"AAAAAHefV/Q=")</f>
        <v>#VALUE!</v>
      </c>
      <c r="IL1" s="58" t="str">
        <f>AND('РЕЗУЛЬТАТ'!F7,"AAAAAHefV/U=")</f>
        <v>#VALUE!</v>
      </c>
      <c r="IM1" s="58" t="str">
        <f>AND('РЕЗУЛЬТАТ'!G7,"AAAAAHefV/Y=")</f>
        <v>#VALUE!</v>
      </c>
      <c r="IN1" s="58" t="str">
        <f>AND('РЕЗУЛЬТАТ'!H7,"AAAAAHefV/c=")</f>
        <v>#VALUE!</v>
      </c>
      <c r="IO1" s="58" t="str">
        <f>AND('РЕЗУЛЬТАТ'!I7,"AAAAAHefV/g=")</f>
        <v>#VALUE!</v>
      </c>
      <c r="IP1" s="58" t="str">
        <f>AND('РЕЗУЛЬТАТ'!J7,"AAAAAHefV/k=")</f>
        <v>#VALUE!</v>
      </c>
      <c r="IQ1" s="58" t="str">
        <f>AND('РЕЗУЛЬТАТ'!K7,"AAAAAHefV/o=")</f>
        <v>#VALUE!</v>
      </c>
      <c r="IR1" s="58" t="str">
        <f>IF('РЕЗУЛЬТАТ'!8:8,"AAAAAHefV/s=",0)</f>
        <v>#VALUE!</v>
      </c>
      <c r="IS1" s="58" t="str">
        <f>AND('РЕЗУЛЬТАТ'!B8,"AAAAAHefV/w=")</f>
        <v>#VALUE!</v>
      </c>
      <c r="IT1" s="58" t="str">
        <f>AND('РЕЗУЛЬТАТ'!C8,"AAAAAHefV/0=")</f>
        <v>#VALUE!</v>
      </c>
      <c r="IU1" s="58" t="str">
        <f>AND('РЕЗУЛЬТАТ'!D8,"AAAAAHefV/4=")</f>
        <v>#VALUE!</v>
      </c>
      <c r="IV1" s="58" t="str">
        <f>AND('РЕЗУЛЬТАТ'!E8,"AAAAAHefV/8=")</f>
        <v>#VALUE!</v>
      </c>
    </row>
    <row r="2" ht="14.25" customHeight="1">
      <c r="A2" s="58" t="str">
        <f>AND('РЕЗУЛЬТАТ'!F8,"AAAAAG7/vgA=")</f>
        <v>#VALUE!</v>
      </c>
      <c r="B2" s="58" t="str">
        <f>AND('РЕЗУЛЬТАТ'!G8,"AAAAAG7/vgE=")</f>
        <v>#VALUE!</v>
      </c>
      <c r="C2" s="58" t="str">
        <f>AND('РЕЗУЛЬТАТ'!H8,"AAAAAG7/vgI=")</f>
        <v>#VALUE!</v>
      </c>
      <c r="D2" s="58" t="str">
        <f>AND('РЕЗУЛЬТАТ'!I8,"AAAAAG7/vgM=")</f>
        <v>#VALUE!</v>
      </c>
      <c r="E2" s="58" t="str">
        <f>AND('РЕЗУЛЬТАТ'!J8,"AAAAAG7/vgQ=")</f>
        <v>#VALUE!</v>
      </c>
      <c r="F2" s="58" t="str">
        <f>AND('РЕЗУЛЬТАТ'!K8,"AAAAAG7/vgU=")</f>
        <v>#VALUE!</v>
      </c>
      <c r="G2" s="58" t="str">
        <f>IF('РЕЗУЛЬТАТ'!9:9,"AAAAAG7/vgY=",0)</f>
        <v>AAAAAG7/vgY=</v>
      </c>
      <c r="H2" s="58" t="str">
        <f>AND('РЕЗУЛЬТАТ'!B9,"AAAAAG7/vgc=")</f>
        <v>#VALUE!</v>
      </c>
      <c r="I2" s="58" t="str">
        <f>AND('РЕЗУЛЬТАТ'!C9,"AAAAAG7/vgg=")</f>
        <v>#VALUE!</v>
      </c>
      <c r="J2" s="58" t="str">
        <f>AND('РЕЗУЛЬТАТ'!D9,"AAAAAG7/vgk=")</f>
        <v>#VALUE!</v>
      </c>
      <c r="K2" s="58" t="str">
        <f>AND('РЕЗУЛЬТАТ'!E9,"AAAAAG7/vgo=")</f>
        <v>#VALUE!</v>
      </c>
      <c r="L2" s="58" t="str">
        <f>AND('РЕЗУЛЬТАТ'!F9,"AAAAAG7/vgs=")</f>
        <v>#VALUE!</v>
      </c>
      <c r="M2" s="58" t="str">
        <f>AND('РЕЗУЛЬТАТ'!G9,"AAAAAG7/vgw=")</f>
        <v>#VALUE!</v>
      </c>
      <c r="N2" s="58" t="str">
        <f>AND('РЕЗУЛЬТАТ'!H9,"AAAAAG7/vg0=")</f>
        <v>#VALUE!</v>
      </c>
      <c r="O2" s="58" t="str">
        <f>AND('РЕЗУЛЬТАТ'!I9,"AAAAAG7/vg4=")</f>
        <v>#VALUE!</v>
      </c>
      <c r="P2" s="58" t="str">
        <f>AND('РЕЗУЛЬТАТ'!J9,"AAAAAG7/vg8=")</f>
        <v>#VALUE!</v>
      </c>
      <c r="Q2" s="58" t="str">
        <f>AND('РЕЗУЛЬТАТ'!K9,"AAAAAG7/vhA=")</f>
        <v>#VALUE!</v>
      </c>
      <c r="R2" s="58">
        <f>IF('РЕЗУЛЬТАТ'!10:10,"AAAAAG7/vhE=",0)</f>
        <v>0</v>
      </c>
      <c r="S2" s="58" t="str">
        <f>AND(РЕЗУЛЬТАТ!#REF!,"AAAAAG7/vhI=")</f>
        <v>#ERROR!</v>
      </c>
      <c r="T2" s="58" t="str">
        <f>AND(РЕЗУЛЬТАТ!#REF!,"AAAAAG7/vhM=")</f>
        <v>#ERROR!</v>
      </c>
      <c r="U2" s="58" t="str">
        <f>AND(РЕЗУЛЬТАТ!#REF!,"AAAAAG7/vhQ=")</f>
        <v>#ERROR!</v>
      </c>
      <c r="V2" s="58" t="str">
        <f>AND(РЕЗУЛЬТАТ!#REF!,"AAAAAG7/vhU=")</f>
        <v>#ERROR!</v>
      </c>
      <c r="W2" s="58" t="str">
        <f>AND(РЕЗУЛЬТАТ!#REF!,"AAAAAG7/vhY=")</f>
        <v>#ERROR!</v>
      </c>
      <c r="X2" s="58" t="str">
        <f>AND(РЕЗУЛЬТАТ!#REF!,"AAAAAG7/vhc=")</f>
        <v>#ERROR!</v>
      </c>
      <c r="Y2" s="58" t="str">
        <f>AND(РЕЗУЛЬТАТ!#REF!,"AAAAAG7/vhg=")</f>
        <v>#ERROR!</v>
      </c>
      <c r="Z2" s="58" t="str">
        <f>AND(РЕЗУЛЬТАТ!#REF!,"AAAAAG7/vhk=")</f>
        <v>#ERROR!</v>
      </c>
      <c r="AA2" s="58" t="str">
        <f>AND(РЕЗУЛЬТАТ!#REF!,"AAAAAG7/vho=")</f>
        <v>#ERROR!</v>
      </c>
      <c r="AB2" s="58" t="str">
        <f>AND(РЕЗУЛЬТАТ!#REF!,"AAAAAG7/vhs=")</f>
        <v>#ERROR!</v>
      </c>
      <c r="AC2" s="58" t="str">
        <f>IF('РЕЗУЛЬТАТ'!11:11,"AAAAAG7/vhw=",0)</f>
        <v>#VALUE!</v>
      </c>
      <c r="AD2" s="58" t="str">
        <f>AND(РЕЗУЛЬТАТ!#REF!,"AAAAAG7/vh0=")</f>
        <v>#ERROR!</v>
      </c>
      <c r="AE2" s="58" t="str">
        <f>AND(РЕЗУЛЬТАТ!#REF!,"AAAAAG7/vh4=")</f>
        <v>#ERROR!</v>
      </c>
      <c r="AF2" s="58" t="str">
        <f>AND(РЕЗУЛЬТАТ!#REF!,"AAAAAG7/vh8=")</f>
        <v>#ERROR!</v>
      </c>
      <c r="AG2" s="58" t="str">
        <f>AND(РЕЗУЛЬТАТ!#REF!,"AAAAAG7/viA=")</f>
        <v>#ERROR!</v>
      </c>
      <c r="AH2" s="58" t="str">
        <f>AND(РЕЗУЛЬТАТ!#REF!,"AAAAAG7/viE=")</f>
        <v>#ERROR!</v>
      </c>
      <c r="AI2" s="58" t="str">
        <f>AND(РЕЗУЛЬТАТ!#REF!,"AAAAAG7/viI=")</f>
        <v>#ERROR!</v>
      </c>
      <c r="AJ2" s="58" t="str">
        <f>AND(РЕЗУЛЬТАТ!#REF!,"AAAAAG7/viM=")</f>
        <v>#ERROR!</v>
      </c>
      <c r="AK2" s="58" t="str">
        <f>AND(РЕЗУЛЬТАТ!#REF!,"AAAAAG7/viQ=")</f>
        <v>#ERROR!</v>
      </c>
      <c r="AL2" s="58" t="str">
        <f>AND(РЕЗУЛЬТАТ!#REF!,"AAAAAG7/viU=")</f>
        <v>#ERROR!</v>
      </c>
      <c r="AM2" s="58" t="str">
        <f>AND(РЕЗУЛЬТАТ!#REF!,"AAAAAG7/viY=")</f>
        <v>#ERROR!</v>
      </c>
      <c r="AN2" s="58" t="str">
        <f>IF('РЕЗУЛЬТАТ'!12:12,"AAAAAG7/vic=",0)</f>
        <v>#VALUE!</v>
      </c>
      <c r="AO2" s="58" t="str">
        <f>AND(РЕЗУЛЬТАТ!#REF!,"AAAAAG7/vig=")</f>
        <v>#ERROR!</v>
      </c>
      <c r="AP2" s="58" t="str">
        <f>AND(РЕЗУЛЬТАТ!#REF!,"AAAAAG7/vik=")</f>
        <v>#ERROR!</v>
      </c>
      <c r="AQ2" s="58" t="str">
        <f>AND(РЕЗУЛЬТАТ!#REF!,"AAAAAG7/vio=")</f>
        <v>#ERROR!</v>
      </c>
      <c r="AR2" s="58" t="str">
        <f>AND(РЕЗУЛЬТАТ!#REF!,"AAAAAG7/vis=")</f>
        <v>#ERROR!</v>
      </c>
      <c r="AS2" s="58" t="str">
        <f>AND(РЕЗУЛЬТАТ!#REF!,"AAAAAG7/viw=")</f>
        <v>#ERROR!</v>
      </c>
      <c r="AT2" s="58" t="str">
        <f>AND(РЕЗУЛЬТАТ!#REF!,"AAAAAG7/vi0=")</f>
        <v>#ERROR!</v>
      </c>
      <c r="AU2" s="58" t="str">
        <f>AND(РЕЗУЛЬТАТ!#REF!,"AAAAAG7/vi4=")</f>
        <v>#ERROR!</v>
      </c>
      <c r="AV2" s="58" t="str">
        <f>AND(РЕЗУЛЬТАТ!#REF!,"AAAAAG7/vi8=")</f>
        <v>#ERROR!</v>
      </c>
      <c r="AW2" s="58" t="str">
        <f>AND(РЕЗУЛЬТАТ!#REF!,"AAAAAG7/vjA=")</f>
        <v>#ERROR!</v>
      </c>
      <c r="AX2" s="58" t="str">
        <f>AND(РЕЗУЛЬТАТ!#REF!,"AAAAAG7/vjE=")</f>
        <v>#ERROR!</v>
      </c>
      <c r="AY2" s="58" t="str">
        <f>IF('РЕЗУЛЬТАТ'!13:13,"AAAAAG7/vjI=",0)</f>
        <v>#VALUE!</v>
      </c>
      <c r="AZ2" s="58" t="str">
        <f>AND(РЕЗУЛЬТАТ!#REF!,"AAAAAG7/vjM=")</f>
        <v>#ERROR!</v>
      </c>
      <c r="BA2" s="58" t="str">
        <f>AND(РЕЗУЛЬТАТ!#REF!,"AAAAAG7/vjQ=")</f>
        <v>#ERROR!</v>
      </c>
      <c r="BB2" s="58" t="str">
        <f>AND(РЕЗУЛЬТАТ!#REF!,"AAAAAG7/vjU=")</f>
        <v>#ERROR!</v>
      </c>
      <c r="BC2" s="58" t="str">
        <f>AND(РЕЗУЛЬТАТ!#REF!,"AAAAAG7/vjY=")</f>
        <v>#ERROR!</v>
      </c>
      <c r="BD2" s="58" t="str">
        <f>AND(РЕЗУЛЬТАТ!#REF!,"AAAAAG7/vjc=")</f>
        <v>#ERROR!</v>
      </c>
      <c r="BE2" s="58" t="str">
        <f>AND(РЕЗУЛЬТАТ!#REF!,"AAAAAG7/vjg=")</f>
        <v>#ERROR!</v>
      </c>
      <c r="BF2" s="58" t="str">
        <f>AND(РЕЗУЛЬТАТ!#REF!,"AAAAAG7/vjk=")</f>
        <v>#ERROR!</v>
      </c>
      <c r="BG2" s="58" t="str">
        <f>AND(РЕЗУЛЬТАТ!#REF!,"AAAAAG7/vjo=")</f>
        <v>#ERROR!</v>
      </c>
      <c r="BH2" s="58" t="str">
        <f>AND(РЕЗУЛЬТАТ!#REF!,"AAAAAG7/vjs=")</f>
        <v>#ERROR!</v>
      </c>
      <c r="BI2" s="58" t="str">
        <f>AND(РЕЗУЛЬТАТ!#REF!,"AAAAAG7/vjw=")</f>
        <v>#ERROR!</v>
      </c>
      <c r="BJ2" s="58" t="str">
        <f>IF('РЕЗУЛЬТАТ'!14:14,"AAAAAG7/vj0=",0)</f>
        <v>#VALUE!</v>
      </c>
      <c r="BK2" s="58" t="str">
        <f>AND(РЕЗУЛЬТАТ!#REF!,"AAAAAG7/vj4=")</f>
        <v>#ERROR!</v>
      </c>
      <c r="BL2" s="58" t="str">
        <f>AND(РЕЗУЛЬТАТ!#REF!,"AAAAAG7/vj8=")</f>
        <v>#ERROR!</v>
      </c>
      <c r="BM2" s="58" t="str">
        <f>AND(РЕЗУЛЬТАТ!#REF!,"AAAAAG7/vkA=")</f>
        <v>#ERROR!</v>
      </c>
      <c r="BN2" s="58" t="str">
        <f>AND(РЕЗУЛЬТАТ!#REF!,"AAAAAG7/vkE=")</f>
        <v>#ERROR!</v>
      </c>
      <c r="BO2" s="58" t="str">
        <f>AND(РЕЗУЛЬТАТ!#REF!,"AAAAAG7/vkI=")</f>
        <v>#ERROR!</v>
      </c>
      <c r="BP2" s="58" t="str">
        <f>AND(РЕЗУЛЬТАТ!#REF!,"AAAAAG7/vkM=")</f>
        <v>#ERROR!</v>
      </c>
      <c r="BQ2" s="58" t="str">
        <f>AND(РЕЗУЛЬТАТ!#REF!,"AAAAAG7/vkQ=")</f>
        <v>#ERROR!</v>
      </c>
      <c r="BR2" s="58" t="str">
        <f>AND(РЕЗУЛЬТАТ!#REF!,"AAAAAG7/vkU=")</f>
        <v>#ERROR!</v>
      </c>
      <c r="BS2" s="58" t="str">
        <f>AND(РЕЗУЛЬТАТ!#REF!,"AAAAAG7/vkY=")</f>
        <v>#ERROR!</v>
      </c>
      <c r="BT2" s="58" t="str">
        <f>AND(РЕЗУЛЬТАТ!#REF!,"AAAAAG7/vkc=")</f>
        <v>#ERROR!</v>
      </c>
      <c r="BU2" s="58" t="str">
        <f>IF('РЕЗУЛЬТАТ'!15:15,"AAAAAG7/vkg=",0)</f>
        <v>#VALUE!</v>
      </c>
      <c r="BV2" s="58" t="str">
        <f>AND(РЕЗУЛЬТАТ!#REF!,"AAAAAG7/vkk=")</f>
        <v>#ERROR!</v>
      </c>
      <c r="BW2" s="58" t="str">
        <f>AND(РЕЗУЛЬТАТ!#REF!,"AAAAAG7/vko=")</f>
        <v>#ERROR!</v>
      </c>
      <c r="BX2" s="58" t="str">
        <f>AND(РЕЗУЛЬТАТ!#REF!,"AAAAAG7/vks=")</f>
        <v>#ERROR!</v>
      </c>
      <c r="BY2" s="58" t="str">
        <f>AND(РЕЗУЛЬТАТ!#REF!,"AAAAAG7/vkw=")</f>
        <v>#ERROR!</v>
      </c>
      <c r="BZ2" s="58" t="str">
        <f>AND(РЕЗУЛЬТАТ!#REF!,"AAAAAG7/vk0=")</f>
        <v>#ERROR!</v>
      </c>
      <c r="CA2" s="58" t="str">
        <f>AND(РЕЗУЛЬТАТ!#REF!,"AAAAAG7/vk4=")</f>
        <v>#ERROR!</v>
      </c>
      <c r="CB2" s="58" t="str">
        <f>AND(РЕЗУЛЬТАТ!#REF!,"AAAAAG7/vk8=")</f>
        <v>#ERROR!</v>
      </c>
      <c r="CC2" s="58" t="str">
        <f>AND(РЕЗУЛЬТАТ!#REF!,"AAAAAG7/vlA=")</f>
        <v>#ERROR!</v>
      </c>
      <c r="CD2" s="58" t="str">
        <f>AND(РЕЗУЛЬТАТ!#REF!,"AAAAAG7/vlE=")</f>
        <v>#ERROR!</v>
      </c>
      <c r="CE2" s="58" t="str">
        <f>AND(РЕЗУЛЬТАТ!#REF!,"AAAAAG7/vlI=")</f>
        <v>#ERROR!</v>
      </c>
      <c r="CF2" s="58" t="str">
        <f>IF('РЕЗУЛЬТАТ'!16:16,"AAAAAG7/vlM=",0)</f>
        <v>#VALUE!</v>
      </c>
      <c r="CG2" s="58" t="str">
        <f>AND(РЕЗУЛЬТАТ!#REF!,"AAAAAG7/vlQ=")</f>
        <v>#ERROR!</v>
      </c>
      <c r="CH2" s="58" t="str">
        <f>AND(РЕЗУЛЬТАТ!#REF!,"AAAAAG7/vlU=")</f>
        <v>#ERROR!</v>
      </c>
      <c r="CI2" s="58" t="str">
        <f>AND(РЕЗУЛЬТАТ!#REF!,"AAAAAG7/vlY=")</f>
        <v>#ERROR!</v>
      </c>
      <c r="CJ2" s="58" t="str">
        <f>AND(РЕЗУЛЬТАТ!#REF!,"AAAAAG7/vlc=")</f>
        <v>#ERROR!</v>
      </c>
      <c r="CK2" s="58" t="str">
        <f>AND(РЕЗУЛЬТАТ!#REF!,"AAAAAG7/vlg=")</f>
        <v>#ERROR!</v>
      </c>
      <c r="CL2" s="58" t="str">
        <f>AND(РЕЗУЛЬТАТ!#REF!,"AAAAAG7/vlk=")</f>
        <v>#ERROR!</v>
      </c>
      <c r="CM2" s="58" t="str">
        <f>AND(РЕЗУЛЬТАТ!#REF!,"AAAAAG7/vlo=")</f>
        <v>#ERROR!</v>
      </c>
      <c r="CN2" s="58" t="str">
        <f>AND(РЕЗУЛЬТАТ!#REF!,"AAAAAG7/vls=")</f>
        <v>#ERROR!</v>
      </c>
      <c r="CO2" s="58" t="str">
        <f>AND(РЕЗУЛЬТАТ!#REF!,"AAAAAG7/vlw=")</f>
        <v>#ERROR!</v>
      </c>
      <c r="CP2" s="58" t="str">
        <f>AND(РЕЗУЛЬТАТ!#REF!,"AAAAAG7/vl0=")</f>
        <v>#ERROR!</v>
      </c>
      <c r="CQ2" s="58" t="str">
        <f>IF('РЕЗУЛЬТАТ'!17:17,"AAAAAG7/vl4=",0)</f>
        <v>#VALUE!</v>
      </c>
      <c r="CR2" s="58" t="str">
        <f>AND(РЕЗУЛЬТАТ!#REF!,"AAAAAG7/vl8=")</f>
        <v>#ERROR!</v>
      </c>
      <c r="CS2" s="58" t="str">
        <f>AND(РЕЗУЛЬТАТ!#REF!,"AAAAAG7/vmA=")</f>
        <v>#ERROR!</v>
      </c>
      <c r="CT2" s="58" t="str">
        <f>AND(РЕЗУЛЬТАТ!#REF!,"AAAAAG7/vmE=")</f>
        <v>#ERROR!</v>
      </c>
      <c r="CU2" s="58" t="str">
        <f>AND(РЕЗУЛЬТАТ!#REF!,"AAAAAG7/vmI=")</f>
        <v>#ERROR!</v>
      </c>
      <c r="CV2" s="58" t="str">
        <f>AND(РЕЗУЛЬТАТ!#REF!,"AAAAAG7/vmM=")</f>
        <v>#ERROR!</v>
      </c>
      <c r="CW2" s="58" t="str">
        <f>AND(РЕЗУЛЬТАТ!#REF!,"AAAAAG7/vmQ=")</f>
        <v>#ERROR!</v>
      </c>
      <c r="CX2" s="58" t="str">
        <f>AND(РЕЗУЛЬТАТ!#REF!,"AAAAAG7/vmU=")</f>
        <v>#ERROR!</v>
      </c>
      <c r="CY2" s="58" t="str">
        <f>AND(РЕЗУЛЬТАТ!#REF!,"AAAAAG7/vmY=")</f>
        <v>#ERROR!</v>
      </c>
      <c r="CZ2" s="58" t="str">
        <f>AND(РЕЗУЛЬТАТ!#REF!,"AAAAAG7/vmc=")</f>
        <v>#ERROR!</v>
      </c>
      <c r="DA2" s="58" t="str">
        <f>AND(РЕЗУЛЬТАТ!#REF!,"AAAAAG7/vmg=")</f>
        <v>#ERROR!</v>
      </c>
      <c r="DB2" s="58" t="str">
        <f>IF('РЕЗУЛЬТАТ'!18:18,"AAAAAG7/vmk=",0)</f>
        <v>#VALUE!</v>
      </c>
      <c r="DC2" s="58" t="str">
        <f>AND(РЕЗУЛЬТАТ!#REF!,"AAAAAG7/vmo=")</f>
        <v>#ERROR!</v>
      </c>
      <c r="DD2" s="58" t="str">
        <f>AND(РЕЗУЛЬТАТ!#REF!,"AAAAAG7/vms=")</f>
        <v>#ERROR!</v>
      </c>
      <c r="DE2" s="58" t="str">
        <f>AND(РЕЗУЛЬТАТ!#REF!,"AAAAAG7/vmw=")</f>
        <v>#ERROR!</v>
      </c>
      <c r="DF2" s="58" t="str">
        <f>AND(РЕЗУЛЬТАТ!#REF!,"AAAAAG7/vm0=")</f>
        <v>#ERROR!</v>
      </c>
      <c r="DG2" s="58" t="str">
        <f>AND(РЕЗУЛЬТАТ!#REF!,"AAAAAG7/vm4=")</f>
        <v>#ERROR!</v>
      </c>
      <c r="DH2" s="58" t="str">
        <f>AND(РЕЗУЛЬТАТ!#REF!,"AAAAAG7/vm8=")</f>
        <v>#ERROR!</v>
      </c>
      <c r="DI2" s="58" t="str">
        <f>AND(РЕЗУЛЬТАТ!#REF!,"AAAAAG7/vnA=")</f>
        <v>#ERROR!</v>
      </c>
      <c r="DJ2" s="58" t="str">
        <f>AND(РЕЗУЛЬТАТ!#REF!,"AAAAAG7/vnE=")</f>
        <v>#ERROR!</v>
      </c>
      <c r="DK2" s="58" t="str">
        <f>AND(РЕЗУЛЬТАТ!#REF!,"AAAAAG7/vnI=")</f>
        <v>#ERROR!</v>
      </c>
      <c r="DL2" s="58" t="str">
        <f>AND(РЕЗУЛЬТАТ!#REF!,"AAAAAG7/vnM=")</f>
        <v>#ERROR!</v>
      </c>
      <c r="DM2" s="58" t="str">
        <f>IF('РЕЗУЛЬТАТ'!19:19,"AAAAAG7/vnQ=",0)</f>
        <v>#VALUE!</v>
      </c>
      <c r="DN2" s="58" t="str">
        <f>AND(РЕЗУЛЬТАТ!#REF!,"AAAAAG7/vnU=")</f>
        <v>#ERROR!</v>
      </c>
      <c r="DO2" s="58" t="str">
        <f>AND(РЕЗУЛЬТАТ!#REF!,"AAAAAG7/vnY=")</f>
        <v>#ERROR!</v>
      </c>
      <c r="DP2" s="58" t="str">
        <f>AND(РЕЗУЛЬТАТ!#REF!,"AAAAAG7/vnc=")</f>
        <v>#ERROR!</v>
      </c>
      <c r="DQ2" s="58" t="str">
        <f>AND(РЕЗУЛЬТАТ!#REF!,"AAAAAG7/vng=")</f>
        <v>#ERROR!</v>
      </c>
      <c r="DR2" s="58" t="str">
        <f>AND(РЕЗУЛЬТАТ!#REF!,"AAAAAG7/vnk=")</f>
        <v>#ERROR!</v>
      </c>
      <c r="DS2" s="58" t="str">
        <f>AND(РЕЗУЛЬТАТ!#REF!,"AAAAAG7/vno=")</f>
        <v>#ERROR!</v>
      </c>
      <c r="DT2" s="58" t="str">
        <f>AND(РЕЗУЛЬТАТ!#REF!,"AAAAAG7/vns=")</f>
        <v>#ERROR!</v>
      </c>
      <c r="DU2" s="58" t="str">
        <f>AND(РЕЗУЛЬТАТ!#REF!,"AAAAAG7/vnw=")</f>
        <v>#ERROR!</v>
      </c>
      <c r="DV2" s="58" t="str">
        <f>AND(РЕЗУЛЬТАТ!#REF!,"AAAAAG7/vn0=")</f>
        <v>#ERROR!</v>
      </c>
      <c r="DW2" s="58" t="str">
        <f>AND(РЕЗУЛЬТАТ!#REF!,"AAAAAG7/vn4=")</f>
        <v>#ERROR!</v>
      </c>
      <c r="DX2" s="58" t="str">
        <f>IF('РЕЗУЛЬТАТ'!20:20,"AAAAAG7/vn8=",0)</f>
        <v>#VALUE!</v>
      </c>
      <c r="DY2" s="58" t="str">
        <f>AND(РЕЗУЛЬТАТ!#REF!,"AAAAAG7/voA=")</f>
        <v>#ERROR!</v>
      </c>
      <c r="DZ2" s="58" t="str">
        <f>AND(РЕЗУЛЬТАТ!#REF!,"AAAAAG7/voE=")</f>
        <v>#ERROR!</v>
      </c>
      <c r="EA2" s="58" t="str">
        <f>AND(РЕЗУЛЬТАТ!#REF!,"AAAAAG7/voI=")</f>
        <v>#ERROR!</v>
      </c>
      <c r="EB2" s="58" t="str">
        <f>AND(РЕЗУЛЬТАТ!#REF!,"AAAAAG7/voM=")</f>
        <v>#ERROR!</v>
      </c>
      <c r="EC2" s="58" t="str">
        <f>AND(РЕЗУЛЬТАТ!#REF!,"AAAAAG7/voQ=")</f>
        <v>#ERROR!</v>
      </c>
      <c r="ED2" s="58" t="str">
        <f>AND(РЕЗУЛЬТАТ!#REF!,"AAAAAG7/voU=")</f>
        <v>#ERROR!</v>
      </c>
      <c r="EE2" s="58" t="str">
        <f>AND(РЕЗУЛЬТАТ!#REF!,"AAAAAG7/voY=")</f>
        <v>#ERROR!</v>
      </c>
      <c r="EF2" s="58" t="str">
        <f>AND(РЕЗУЛЬТАТ!#REF!,"AAAAAG7/voc=")</f>
        <v>#ERROR!</v>
      </c>
      <c r="EG2" s="58" t="str">
        <f>AND(РЕЗУЛЬТАТ!#REF!,"AAAAAG7/vog=")</f>
        <v>#ERROR!</v>
      </c>
      <c r="EH2" s="58" t="str">
        <f>AND(РЕЗУЛЬТАТ!#REF!,"AAAAAG7/vok=")</f>
        <v>#ERROR!</v>
      </c>
      <c r="EI2" s="58" t="str">
        <f>IF('РЕЗУЛЬТАТ'!21:21,"AAAAAG7/voo=",0)</f>
        <v>#VALUE!</v>
      </c>
      <c r="EJ2" s="58" t="str">
        <f>AND(РЕЗУЛЬТАТ!#REF!,"AAAAAG7/vos=")</f>
        <v>#ERROR!</v>
      </c>
      <c r="EK2" s="58" t="str">
        <f>AND(РЕЗУЛЬТАТ!#REF!,"AAAAAG7/vow=")</f>
        <v>#ERROR!</v>
      </c>
      <c r="EL2" s="58" t="str">
        <f>AND(РЕЗУЛЬТАТ!#REF!,"AAAAAG7/vo0=")</f>
        <v>#ERROR!</v>
      </c>
      <c r="EM2" s="58" t="str">
        <f>AND(РЕЗУЛЬТАТ!#REF!,"AAAAAG7/vo4=")</f>
        <v>#ERROR!</v>
      </c>
      <c r="EN2" s="58" t="str">
        <f>AND(РЕЗУЛЬТАТ!#REF!,"AAAAAG7/vo8=")</f>
        <v>#ERROR!</v>
      </c>
      <c r="EO2" s="58" t="str">
        <f>AND(РЕЗУЛЬТАТ!#REF!,"AAAAAG7/vpA=")</f>
        <v>#ERROR!</v>
      </c>
      <c r="EP2" s="58" t="str">
        <f>AND(РЕЗУЛЬТАТ!#REF!,"AAAAAG7/vpE=")</f>
        <v>#ERROR!</v>
      </c>
      <c r="EQ2" s="58" t="str">
        <f>AND(РЕЗУЛЬТАТ!#REF!,"AAAAAG7/vpI=")</f>
        <v>#ERROR!</v>
      </c>
      <c r="ER2" s="58" t="str">
        <f>AND(РЕЗУЛЬТАТ!#REF!,"AAAAAG7/vpM=")</f>
        <v>#ERROR!</v>
      </c>
      <c r="ES2" s="58" t="str">
        <f>AND(РЕЗУЛЬТАТ!#REF!,"AAAAAG7/vpQ=")</f>
        <v>#ERROR!</v>
      </c>
      <c r="ET2" s="58" t="str">
        <f>IF('РЕЗУЛЬТАТ'!22:22,"AAAAAG7/vpU=",0)</f>
        <v>#VALUE!</v>
      </c>
      <c r="EU2" s="58" t="str">
        <f>AND(РЕЗУЛЬТАТ!#REF!,"AAAAAG7/vpY=")</f>
        <v>#ERROR!</v>
      </c>
      <c r="EV2" s="58" t="str">
        <f>AND(РЕЗУЛЬТАТ!#REF!,"AAAAAG7/vpc=")</f>
        <v>#ERROR!</v>
      </c>
      <c r="EW2" s="58" t="str">
        <f>AND(РЕЗУЛЬТАТ!#REF!,"AAAAAG7/vpg=")</f>
        <v>#ERROR!</v>
      </c>
      <c r="EX2" s="58" t="str">
        <f>AND(РЕЗУЛЬТАТ!#REF!,"AAAAAG7/vpk=")</f>
        <v>#ERROR!</v>
      </c>
      <c r="EY2" s="58" t="str">
        <f>AND(РЕЗУЛЬТАТ!#REF!,"AAAAAG7/vpo=")</f>
        <v>#ERROR!</v>
      </c>
      <c r="EZ2" s="58" t="str">
        <f>AND(РЕЗУЛЬТАТ!#REF!,"AAAAAG7/vps=")</f>
        <v>#ERROR!</v>
      </c>
      <c r="FA2" s="58" t="str">
        <f>AND(РЕЗУЛЬТАТ!#REF!,"AAAAAG7/vpw=")</f>
        <v>#ERROR!</v>
      </c>
      <c r="FB2" s="58" t="str">
        <f>AND(РЕЗУЛЬТАТ!#REF!,"AAAAAG7/vp0=")</f>
        <v>#ERROR!</v>
      </c>
      <c r="FC2" s="58" t="str">
        <f>AND(РЕЗУЛЬТАТ!#REF!,"AAAAAG7/vp4=")</f>
        <v>#ERROR!</v>
      </c>
      <c r="FD2" s="58" t="str">
        <f>AND(РЕЗУЛЬТАТ!#REF!,"AAAAAG7/vp8=")</f>
        <v>#ERROR!</v>
      </c>
      <c r="FE2" s="58" t="str">
        <f>IF('РЕЗУЛЬТАТ'!23:23,"AAAAAG7/vqA=",0)</f>
        <v>#VALUE!</v>
      </c>
      <c r="FF2" s="58" t="str">
        <f>AND(РЕЗУЛЬТАТ!#REF!,"AAAAAG7/vqE=")</f>
        <v>#ERROR!</v>
      </c>
      <c r="FG2" s="58" t="str">
        <f>AND(РЕЗУЛЬТАТ!#REF!,"AAAAAG7/vqI=")</f>
        <v>#ERROR!</v>
      </c>
      <c r="FH2" s="58" t="str">
        <f>AND(РЕЗУЛЬТАТ!#REF!,"AAAAAG7/vqM=")</f>
        <v>#ERROR!</v>
      </c>
      <c r="FI2" s="58" t="str">
        <f>AND(РЕЗУЛЬТАТ!#REF!,"AAAAAG7/vqQ=")</f>
        <v>#ERROR!</v>
      </c>
      <c r="FJ2" s="58" t="str">
        <f>AND(РЕЗУЛЬТАТ!#REF!,"AAAAAG7/vqU=")</f>
        <v>#ERROR!</v>
      </c>
      <c r="FK2" s="58" t="str">
        <f>AND(РЕЗУЛЬТАТ!#REF!,"AAAAAG7/vqY=")</f>
        <v>#ERROR!</v>
      </c>
      <c r="FL2" s="58" t="str">
        <f>AND(РЕЗУЛЬТАТ!#REF!,"AAAAAG7/vqc=")</f>
        <v>#ERROR!</v>
      </c>
      <c r="FM2" s="58" t="str">
        <f>AND(РЕЗУЛЬТАТ!#REF!,"AAAAAG7/vqg=")</f>
        <v>#ERROR!</v>
      </c>
      <c r="FN2" s="58" t="str">
        <f>AND(РЕЗУЛЬТАТ!#REF!,"AAAAAG7/vqk=")</f>
        <v>#ERROR!</v>
      </c>
      <c r="FO2" s="58" t="str">
        <f>AND(РЕЗУЛЬТАТ!#REF!,"AAAAAG7/vqo=")</f>
        <v>#ERROR!</v>
      </c>
      <c r="FP2" s="58" t="str">
        <f>IF('РЕЗУЛЬТАТ'!24:24,"AAAAAG7/vqs=",0)</f>
        <v>#VALUE!</v>
      </c>
      <c r="FQ2" s="58" t="str">
        <f>AND(РЕЗУЛЬТАТ!#REF!,"AAAAAG7/vqw=")</f>
        <v>#ERROR!</v>
      </c>
      <c r="FR2" s="58" t="str">
        <f>AND(РЕЗУЛЬТАТ!#REF!,"AAAAAG7/vq0=")</f>
        <v>#ERROR!</v>
      </c>
      <c r="FS2" s="58" t="str">
        <f>AND(РЕЗУЛЬТАТ!#REF!,"AAAAAG7/vq4=")</f>
        <v>#ERROR!</v>
      </c>
      <c r="FT2" s="58" t="str">
        <f>AND(РЕЗУЛЬТАТ!#REF!,"AAAAAG7/vq8=")</f>
        <v>#ERROR!</v>
      </c>
      <c r="FU2" s="58" t="str">
        <f>AND(РЕЗУЛЬТАТ!#REF!,"AAAAAG7/vrA=")</f>
        <v>#ERROR!</v>
      </c>
      <c r="FV2" s="58" t="str">
        <f>AND(РЕЗУЛЬТАТ!#REF!,"AAAAAG7/vrE=")</f>
        <v>#ERROR!</v>
      </c>
      <c r="FW2" s="58" t="str">
        <f>AND(РЕЗУЛЬТАТ!#REF!,"AAAAAG7/vrI=")</f>
        <v>#ERROR!</v>
      </c>
      <c r="FX2" s="58" t="str">
        <f>AND(РЕЗУЛЬТАТ!#REF!,"AAAAAG7/vrM=")</f>
        <v>#ERROR!</v>
      </c>
      <c r="FY2" s="58" t="str">
        <f>AND(РЕЗУЛЬТАТ!#REF!,"AAAAAG7/vrQ=")</f>
        <v>#ERROR!</v>
      </c>
      <c r="FZ2" s="58" t="str">
        <f>AND(РЕЗУЛЬТАТ!#REF!,"AAAAAG7/vrU=")</f>
        <v>#ERROR!</v>
      </c>
      <c r="GA2" s="58" t="str">
        <f>IF('РЕЗУЛЬТАТ'!25:25,"AAAAAG7/vrY=",0)</f>
        <v>#VALUE!</v>
      </c>
      <c r="GB2" s="58" t="str">
        <f>AND('РЕЗУЛЬТАТ'!B10,"AAAAAG7/vrc=")</f>
        <v>#VALUE!</v>
      </c>
      <c r="GC2" s="58" t="str">
        <f>AND('РЕЗУЛЬТАТ'!C10,"AAAAAG7/vrg=")</f>
        <v>#VALUE!</v>
      </c>
      <c r="GD2" s="58" t="str">
        <f>AND('РЕЗУЛЬТАТ'!D10,"AAAAAG7/vrk=")</f>
        <v>#VALUE!</v>
      </c>
      <c r="GE2" s="58" t="str">
        <f>AND('РЕЗУЛЬТАТ'!E10,"AAAAAG7/vro=")</f>
        <v>#VALUE!</v>
      </c>
      <c r="GF2" s="58" t="str">
        <f>AND('РЕЗУЛЬТАТ'!F10,"AAAAAG7/vrs=")</f>
        <v>#VALUE!</v>
      </c>
      <c r="GG2" s="58" t="str">
        <f>AND('РЕЗУЛЬТАТ'!G10,"AAAAAG7/vrw=")</f>
        <v>#VALUE!</v>
      </c>
      <c r="GH2" s="58" t="str">
        <f>AND('РЕЗУЛЬТАТ'!H10,"AAAAAG7/vr0=")</f>
        <v>#VALUE!</v>
      </c>
      <c r="GI2" s="58" t="str">
        <f>AND('РЕЗУЛЬТАТ'!I10,"AAAAAG7/vr4=")</f>
        <v>#VALUE!</v>
      </c>
      <c r="GJ2" s="58" t="str">
        <f>AND('РЕЗУЛЬТАТ'!J10,"AAAAAG7/vr8=")</f>
        <v>#VALUE!</v>
      </c>
      <c r="GK2" s="58" t="str">
        <f>AND('РЕЗУЛЬТАТ'!K10,"AAAAAG7/vsA=")</f>
        <v>#VALUE!</v>
      </c>
      <c r="GL2" s="58" t="str">
        <f>IF('РЕЗУЛЬТАТ'!26:26,"AAAAAG7/vsE=",0)</f>
        <v>#VALUE!</v>
      </c>
      <c r="GM2" s="58" t="str">
        <f>AND('РЕЗУЛЬТАТ'!B11,"AAAAAG7/vsI=")</f>
        <v>#VALUE!</v>
      </c>
      <c r="GN2" s="58" t="str">
        <f>AND('РЕЗУЛЬТАТ'!C11,"AAAAAG7/vsM=")</f>
        <v>#VALUE!</v>
      </c>
      <c r="GO2" s="58" t="str">
        <f>AND('РЕЗУЛЬТАТ'!D11,"AAAAAG7/vsQ=")</f>
        <v>#VALUE!</v>
      </c>
      <c r="GP2" s="58" t="str">
        <f>AND('РЕЗУЛЬТАТ'!E11,"AAAAAG7/vsU=")</f>
        <v>#VALUE!</v>
      </c>
      <c r="GQ2" s="58" t="str">
        <f>AND('РЕЗУЛЬТАТ'!F11,"AAAAAG7/vsY=")</f>
        <v>#VALUE!</v>
      </c>
      <c r="GR2" s="58" t="str">
        <f>AND('РЕЗУЛЬТАТ'!G11,"AAAAAG7/vsc=")</f>
        <v>#VALUE!</v>
      </c>
      <c r="GS2" s="58" t="str">
        <f>AND('РЕЗУЛЬТАТ'!H11,"AAAAAG7/vsg=")</f>
        <v>#VALUE!</v>
      </c>
      <c r="GT2" s="58" t="str">
        <f>AND('РЕЗУЛЬТАТ'!I11,"AAAAAG7/vsk=")</f>
        <v>#VALUE!</v>
      </c>
      <c r="GU2" s="58" t="str">
        <f>AND('РЕЗУЛЬТАТ'!J11,"AAAAAG7/vso=")</f>
        <v>#VALUE!</v>
      </c>
      <c r="GV2" s="58" t="str">
        <f>AND('РЕЗУЛЬТАТ'!K11,"AAAAAG7/vss=")</f>
        <v>#VALUE!</v>
      </c>
      <c r="GW2" s="58">
        <f>IF('РЕЗУЛЬТАТ'!A:A,"AAAAAG7/vsw=",0)</f>
        <v>0</v>
      </c>
      <c r="GX2" s="58">
        <f>IF('РЕЗУЛЬТАТ'!B:B,"AAAAAG7/vs0=",0)</f>
        <v>0</v>
      </c>
      <c r="GY2" s="58">
        <f>IF('РЕЗУЛЬТАТ'!C:C,"AAAAAG7/vs4=",0)</f>
        <v>0</v>
      </c>
      <c r="GZ2" s="58">
        <f>IF('РЕЗУЛЬТАТ'!D:D,"AAAAAG7/vs8=",0)</f>
        <v>0</v>
      </c>
      <c r="HA2" s="58">
        <f>IF('РЕЗУЛЬТАТ'!E:E,"AAAAAG7/vtA=",0)</f>
        <v>0</v>
      </c>
      <c r="HB2" s="58">
        <f>IF('РЕЗУЛЬТАТ'!F:F,"AAAAAG7/vtE=",0)</f>
        <v>0</v>
      </c>
      <c r="HC2" s="58">
        <f>IF('РЕЗУЛЬТАТ'!G:G,"AAAAAG7/vtI=",0)</f>
        <v>0</v>
      </c>
      <c r="HD2" s="58">
        <f>IF('РЕЗУЛЬТАТ'!H:H,"AAAAAG7/vtM=",0)</f>
        <v>0</v>
      </c>
      <c r="HE2" s="58">
        <f>IF('РЕЗУЛЬТАТ'!I:I,"AAAAAG7/vtQ=",0)</f>
        <v>0</v>
      </c>
      <c r="HF2" s="58">
        <f>IF('РЕЗУЛЬТАТ'!J:J,"AAAAAG7/vtU=",0)</f>
        <v>0</v>
      </c>
      <c r="HG2" s="58">
        <f>IF('РЕЗУЛЬТАТ'!K:K,"AAAAAG7/vtY=",0)</f>
        <v>0</v>
      </c>
      <c r="HH2" s="58" t="str">
        <f>IF(Helpers!1:1,"AAAAAG7/vtc=",0)</f>
        <v>#VALUE!</v>
      </c>
      <c r="HI2" s="58" t="str">
        <f>AND(Helpers!A1,"AAAAAG7/vtg=")</f>
        <v>#VALUE!</v>
      </c>
      <c r="HJ2" s="58" t="str">
        <f>AND(Helpers!B1,"AAAAAG7/vtk=")</f>
        <v>#VALUE!</v>
      </c>
      <c r="HK2" s="58" t="str">
        <f>AND(Helpers!C1,"AAAAAG7/vto=")</f>
        <v>#VALUE!</v>
      </c>
      <c r="HL2" s="58" t="str">
        <f>AND(Helpers!D1,"AAAAAG7/vts=")</f>
        <v>#VALUE!</v>
      </c>
      <c r="HM2" s="58" t="str">
        <f>AND(Helpers!E1,"AAAAAG7/vtw=")</f>
        <v>#VALUE!</v>
      </c>
      <c r="HN2" s="58" t="str">
        <f>IF(Helpers!2:2,"AAAAAG7/vt0=",0)</f>
        <v>#VALUE!</v>
      </c>
      <c r="HO2" s="58" t="str">
        <f>AND(Helpers!A2,"AAAAAG7/vt4=")</f>
        <v>#VALUE!</v>
      </c>
      <c r="HP2" s="58" t="str">
        <f>AND(Helpers!B2,"AAAAAG7/vt8=")</f>
        <v>#VALUE!</v>
      </c>
      <c r="HQ2" s="58" t="str">
        <f>AND(Helpers!C2,"AAAAAG7/vuA=")</f>
        <v>#VALUE!</v>
      </c>
      <c r="HR2" s="58" t="str">
        <f>AND(Helpers!D2,"AAAAAG7/vuE=")</f>
        <v>#VALUE!</v>
      </c>
      <c r="HS2" s="58" t="str">
        <f>AND(Helpers!E2,"AAAAAG7/vuI=")</f>
        <v>#VALUE!</v>
      </c>
      <c r="HT2" s="58" t="str">
        <f>IF(Helpers!3:3,"AAAAAG7/vuM=",0)</f>
        <v>#VALUE!</v>
      </c>
      <c r="HU2" s="58" t="str">
        <f>AND(Helpers!A3,"AAAAAG7/vuQ=")</f>
        <v>#VALUE!</v>
      </c>
      <c r="HV2" s="58" t="str">
        <f>AND(Helpers!B3,"AAAAAG7/vuU=")</f>
        <v>#VALUE!</v>
      </c>
      <c r="HW2" s="58" t="str">
        <f>AND(Helpers!C3,"AAAAAG7/vuY=")</f>
        <v>#VALUE!</v>
      </c>
      <c r="HX2" s="58" t="str">
        <f>AND(Helpers!D3,"AAAAAG7/vuc=")</f>
        <v>#VALUE!</v>
      </c>
      <c r="HY2" s="58" t="str">
        <f>AND(Helpers!E3,"AAAAAG7/vug=")</f>
        <v>#VALUE!</v>
      </c>
      <c r="HZ2" s="58" t="str">
        <f>IF(Helpers!4:4,"AAAAAG7/vuk=",0)</f>
        <v>#VALUE!</v>
      </c>
      <c r="IA2" s="58" t="str">
        <f>AND(Helpers!A4,"AAAAAG7/vuo=")</f>
        <v>#VALUE!</v>
      </c>
      <c r="IB2" s="58" t="str">
        <f>AND(Helpers!B4,"AAAAAG7/vus=")</f>
        <v>#VALUE!</v>
      </c>
      <c r="IC2" s="58" t="str">
        <f>AND(Helpers!C4,"AAAAAG7/vuw=")</f>
        <v>#VALUE!</v>
      </c>
      <c r="ID2" s="58" t="str">
        <f>AND(Helpers!D4,"AAAAAG7/vu0=")</f>
        <v>#VALUE!</v>
      </c>
      <c r="IE2" s="58" t="str">
        <f>AND(Helpers!E4,"AAAAAG7/vu4=")</f>
        <v>#VALUE!</v>
      </c>
      <c r="IF2" s="58" t="str">
        <f>IF(Helpers!5:5,"AAAAAG7/vu8=",0)</f>
        <v>#VALUE!</v>
      </c>
      <c r="IG2" s="58" t="str">
        <f>AND(Helpers!A5,"AAAAAG7/vvA=")</f>
        <v>#VALUE!</v>
      </c>
      <c r="IH2" s="58" t="str">
        <f>AND(Helpers!B5,"AAAAAG7/vvE=")</f>
        <v>#VALUE!</v>
      </c>
      <c r="II2" s="58" t="str">
        <f>AND(Helpers!C5,"AAAAAG7/vvI=")</f>
        <v>#VALUE!</v>
      </c>
      <c r="IJ2" s="58" t="str">
        <f>AND(Helpers!D5,"AAAAAG7/vvM=")</f>
        <v>#VALUE!</v>
      </c>
      <c r="IK2" s="58" t="str">
        <f>AND(Helpers!E5,"AAAAAG7/vvQ=")</f>
        <v>#VALUE!</v>
      </c>
      <c r="IL2" s="58" t="str">
        <f>IF(Helpers!6:6,"AAAAAG7/vvU=",0)</f>
        <v>#VALUE!</v>
      </c>
      <c r="IM2" s="58" t="str">
        <f>AND(Helpers!A6,"AAAAAG7/vvY=")</f>
        <v>#VALUE!</v>
      </c>
      <c r="IN2" s="58" t="str">
        <f>AND(Helpers!B6,"AAAAAG7/vvc=")</f>
        <v>#VALUE!</v>
      </c>
      <c r="IO2" s="58" t="str">
        <f>AND(Helpers!C6,"AAAAAG7/vvg=")</f>
        <v>#VALUE!</v>
      </c>
      <c r="IP2" s="58" t="str">
        <f>AND(Helpers!D6,"AAAAAG7/vvk=")</f>
        <v>#VALUE!</v>
      </c>
      <c r="IQ2" s="58" t="str">
        <f>AND(Helpers!E6,"AAAAAG7/vvo=")</f>
        <v>#VALUE!</v>
      </c>
      <c r="IR2" s="58" t="str">
        <f>IF(Helpers!7:7,"AAAAAG7/vvs=",0)</f>
        <v>#VALUE!</v>
      </c>
      <c r="IS2" s="58" t="str">
        <f>AND(Helpers!A7,"AAAAAG7/vvw=")</f>
        <v>#VALUE!</v>
      </c>
      <c r="IT2" s="58" t="str">
        <f>AND(Helpers!B7,"AAAAAG7/vv0=")</f>
        <v>#VALUE!</v>
      </c>
      <c r="IU2" s="58" t="str">
        <f>AND(Helpers!C7,"AAAAAG7/vv4=")</f>
        <v>#VALUE!</v>
      </c>
      <c r="IV2" s="58" t="str">
        <f>AND(Helpers!D7,"AAAAAG7/vv8=")</f>
        <v>#VALUE!</v>
      </c>
    </row>
    <row r="3" ht="14.25" customHeight="1">
      <c r="A3" s="58" t="str">
        <f>AND(Helpers!E7,"AAAAAD8/7QA=")</f>
        <v>#VALUE!</v>
      </c>
      <c r="B3" s="58" t="str">
        <f>IF(Helpers!8:8,"AAAAAD8/7QE=",0)</f>
        <v>#VALUE!</v>
      </c>
      <c r="C3" s="58" t="str">
        <f>AND(Helpers!A8,"AAAAAD8/7QI=")</f>
        <v>#VALUE!</v>
      </c>
      <c r="D3" s="58" t="str">
        <f>AND(Helpers!B8,"AAAAAD8/7QM=")</f>
        <v>#VALUE!</v>
      </c>
      <c r="E3" s="58" t="str">
        <f>AND(Helpers!C8,"AAAAAD8/7QQ=")</f>
        <v>#VALUE!</v>
      </c>
      <c r="F3" s="58" t="str">
        <f>AND(Helpers!D8,"AAAAAD8/7QU=")</f>
        <v>#VALUE!</v>
      </c>
      <c r="G3" s="58" t="str">
        <f>AND(Helpers!E8,"AAAAAD8/7QY=")</f>
        <v>#VALUE!</v>
      </c>
      <c r="H3" s="58">
        <f>IF(Helpers!9:9,"AAAAAD8/7Qc=",0)</f>
        <v>0</v>
      </c>
      <c r="I3" s="58" t="str">
        <f>AND(Helpers!A9,"AAAAAD8/7Qg=")</f>
        <v>#VALUE!</v>
      </c>
      <c r="J3" s="58" t="str">
        <f>AND(Helpers!B9,"AAAAAD8/7Qk=")</f>
        <v>#VALUE!</v>
      </c>
      <c r="K3" s="58" t="str">
        <f>AND(Helpers!C9,"AAAAAD8/7Qo=")</f>
        <v>#VALUE!</v>
      </c>
      <c r="L3" s="58" t="str">
        <f>AND(Helpers!D9,"AAAAAD8/7Qs=")</f>
        <v>#VALUE!</v>
      </c>
      <c r="M3" s="58" t="str">
        <f>AND(Helpers!E9,"AAAAAD8/7Qw=")</f>
        <v>#VALUE!</v>
      </c>
      <c r="N3" s="58">
        <f>IF(Helpers!10:10,"AAAAAD8/7Q0=",0)</f>
        <v>0</v>
      </c>
      <c r="O3" s="58" t="str">
        <f>AND(Helpers!A10,"AAAAAD8/7Q4=")</f>
        <v>#VALUE!</v>
      </c>
      <c r="P3" s="58" t="str">
        <f>AND(Helpers!B10,"AAAAAD8/7Q8=")</f>
        <v>#VALUE!</v>
      </c>
      <c r="Q3" s="58" t="str">
        <f>AND(Helpers!C10,"AAAAAD8/7RA=")</f>
        <v>#VALUE!</v>
      </c>
      <c r="R3" s="58" t="str">
        <f>AND(Helpers!D10,"AAAAAD8/7RE=")</f>
        <v>#VALUE!</v>
      </c>
      <c r="S3" s="58" t="str">
        <f>AND(Helpers!E10,"AAAAAD8/7RI=")</f>
        <v>#VALUE!</v>
      </c>
      <c r="T3" s="58">
        <f>IF(Helpers!11:11,"AAAAAD8/7RM=",0)</f>
        <v>0</v>
      </c>
      <c r="U3" s="58" t="str">
        <f>AND(Helpers!A11,"AAAAAD8/7RQ=")</f>
        <v>#VALUE!</v>
      </c>
      <c r="V3" s="58" t="str">
        <f>AND(Helpers!B11,"AAAAAD8/7RU=")</f>
        <v>#VALUE!</v>
      </c>
      <c r="W3" s="58" t="str">
        <f>AND(Helpers!C11,"AAAAAD8/7RY=")</f>
        <v>#VALUE!</v>
      </c>
      <c r="X3" s="58">
        <f>IF(Helpers!12:12,"AAAAAD8/7Rc=",0)</f>
        <v>0</v>
      </c>
      <c r="Y3" s="58" t="str">
        <f>AND(Helpers!A12,"AAAAAD8/7Rg=")</f>
        <v>#VALUE!</v>
      </c>
      <c r="Z3" s="58" t="str">
        <f>AND(Helpers!B12,"AAAAAD8/7Rk=")</f>
        <v>#VALUE!</v>
      </c>
      <c r="AA3" s="58" t="str">
        <f>AND(Helpers!C12,"AAAAAD8/7Ro=")</f>
        <v>#VALUE!</v>
      </c>
      <c r="AB3" s="58" t="str">
        <f>IF(Helpers!13:13,"AAAAAD8/7Rs=",0)</f>
        <v>#VALUE!</v>
      </c>
      <c r="AC3" s="58" t="str">
        <f>AND(Helpers!A13,"AAAAAD8/7Rw=")</f>
        <v>#VALUE!</v>
      </c>
      <c r="AD3" s="58" t="str">
        <f>AND(Helpers!B13,"AAAAAD8/7R0=")</f>
        <v>#VALUE!</v>
      </c>
      <c r="AE3" s="58" t="str">
        <f>AND(Helpers!C13,"AAAAAD8/7R4=")</f>
        <v>#VALUE!</v>
      </c>
      <c r="AF3" s="58" t="str">
        <f>IF(Helpers!14:14,"AAAAAD8/7R8=",0)</f>
        <v>#VALUE!</v>
      </c>
      <c r="AG3" s="58" t="str">
        <f>AND(Helpers!A14,"AAAAAD8/7SA=")</f>
        <v>#VALUE!</v>
      </c>
      <c r="AH3" s="58" t="str">
        <f>AND(Helpers!B14,"AAAAAD8/7SE=")</f>
        <v>#VALUE!</v>
      </c>
      <c r="AI3" s="58" t="str">
        <f>AND(Helpers!C14,"AAAAAD8/7SI=")</f>
        <v>#VALUE!</v>
      </c>
      <c r="AJ3" s="58" t="str">
        <f>IF(Helpers!#REF!,"AAAAAD8/7SM=",0)</f>
        <v>#ERROR!</v>
      </c>
      <c r="AK3" s="58" t="str">
        <f>AND(Helpers!#REF!,"AAAAAD8/7SQ=")</f>
        <v>#ERROR!</v>
      </c>
      <c r="AL3" s="58" t="str">
        <f>AND(Helpers!#REF!,"AAAAAD8/7SU=")</f>
        <v>#ERROR!</v>
      </c>
      <c r="AM3" s="58" t="str">
        <f>AND(Helpers!#REF!,"AAAAAD8/7SY=")</f>
        <v>#ERROR!</v>
      </c>
      <c r="AN3" s="58" t="str">
        <f>IF(Helpers!15:15,"AAAAAD8/7Sc=",0)</f>
        <v>#VALUE!</v>
      </c>
      <c r="AO3" s="58" t="str">
        <f>AND(Helpers!A15,"AAAAAD8/7Sg=")</f>
        <v>#VALUE!</v>
      </c>
      <c r="AP3" s="58" t="str">
        <f>AND(Helpers!B15,"AAAAAD8/7Sk=")</f>
        <v>#VALUE!</v>
      </c>
      <c r="AQ3" s="58" t="str">
        <f>AND(Helpers!C15,"AAAAAD8/7So=")</f>
        <v>#VALUE!</v>
      </c>
      <c r="AR3" s="58" t="str">
        <f>IF(Helpers!16:16,"AAAAAD8/7Ss=",0)</f>
        <v>#VALUE!</v>
      </c>
      <c r="AS3" s="58" t="str">
        <f>AND(Helpers!A16,"AAAAAD8/7Sw=")</f>
        <v>#VALUE!</v>
      </c>
      <c r="AT3" s="58" t="str">
        <f>AND(Helpers!B16,"AAAAAD8/7S0=")</f>
        <v>#VALUE!</v>
      </c>
      <c r="AU3" s="58" t="str">
        <f>AND(Helpers!C16,"AAAAAD8/7S4=")</f>
        <v>#VALUE!</v>
      </c>
      <c r="AV3" s="58" t="str">
        <f>IF(Helpers!17:17,"AAAAAD8/7S8=",0)</f>
        <v>#VALUE!</v>
      </c>
      <c r="AW3" s="58" t="str">
        <f>AND(Helpers!A17,"AAAAAD8/7TA=")</f>
        <v>#VALUE!</v>
      </c>
      <c r="AX3" s="58" t="str">
        <f>AND(Helpers!B17,"AAAAAD8/7TE=")</f>
        <v>#VALUE!</v>
      </c>
      <c r="AY3" s="58" t="str">
        <f>AND(Helpers!C17,"AAAAAD8/7TI=")</f>
        <v>#VALUE!</v>
      </c>
      <c r="AZ3" s="58" t="str">
        <f>IF(Helpers!A:A,"AAAAAD8/7TM=",0)</f>
        <v>#VALUE!</v>
      </c>
      <c r="BA3" s="58" t="str">
        <f>IF(Helpers!B:B,"AAAAAD8/7TQ=",0)</f>
        <v>AAAAAD8/7TQ=</v>
      </c>
      <c r="BB3" s="58">
        <f>IF(Helpers!C:C,"AAAAAD8/7TU=",0)</f>
        <v>0</v>
      </c>
      <c r="BC3" s="58">
        <f>IF(Helpers!D:D,"AAAAAD8/7TY=",0)</f>
        <v>0</v>
      </c>
      <c r="BD3" s="58">
        <f>IF(Helpers!E:E,"AAAAAD8/7Tc=",0)</f>
        <v>0</v>
      </c>
      <c r="BE3" s="58" t="s">
        <v>60</v>
      </c>
      <c r="BF3" s="58" t="str">
        <f>IF("N",CalsCarb,"AAAAAD8/7Tk=")</f>
        <v>#VALUE!</v>
      </c>
      <c r="BG3" s="58" t="str">
        <f>IF("N",CalsFat,"AAAAAD8/7To=")</f>
        <v>#VALUE!</v>
      </c>
      <c r="BH3" s="58" t="str">
        <f>IF("N",CalsProtein,"AAAAAD8/7Ts=")</f>
        <v>#VALUE!</v>
      </c>
      <c r="BI3" s="58" t="str">
        <f>IF("N",CarbLoadFatAmount,"AAAAAD8/7Tw=")</f>
        <v>#VALUE!</v>
      </c>
      <c r="BJ3" s="58" t="str">
        <f>IF("N",CarbLoadMultiplier,"AAAAAD8/7T0=")</f>
        <v>#VALUE!</v>
      </c>
      <c r="BK3" s="58" t="str">
        <f>IF("N",FatPerc,"AAAAAD8/7T4=")</f>
        <v>#VALUE!</v>
      </c>
      <c r="BL3" s="58" t="str">
        <f>IF("N",LastDayCalsPerc,"AAAAAD8/7T8=")</f>
        <v>#VALUE!</v>
      </c>
      <c r="BM3" s="58" t="str">
        <f>IF("N",LastDayCarbPerKg,"AAAAAD8/7UA=")</f>
        <v>#VALUE!</v>
      </c>
      <c r="BN3" s="58" t="str">
        <f>IF("N",LBMKg,"AAAAAD8/7UE=")</f>
        <v>#VALUE!</v>
      </c>
      <c r="BO3" s="58" t="str">
        <f>IF("N",LBMLb,"AAAAAD8/7UI=")</f>
        <v>#VALUE!</v>
      </c>
      <c r="BP3" s="58" t="str">
        <f>IF("N",LowCarbCalsPerc,"AAAAAD8/7UM=")</f>
        <v>#VALUE!</v>
      </c>
      <c r="BQ3" s="58" t="str">
        <f>IF("N",LowCarbCarbsPerc,"AAAAAD8/7UQ=")</f>
        <v>#VALUE!</v>
      </c>
      <c r="BR3" s="58" t="str">
        <f>IF("N",LowCarbProteinPerLB,"AAAAAD8/7UU=")</f>
        <v>#VALUE!</v>
      </c>
      <c r="BS3" s="58" t="str">
        <f>IF("N",MaintCals,"AAAAAD8/7UY=")</f>
        <v>#VALUE!</v>
      </c>
      <c r="BT3" s="58" t="str">
        <f>IF("N",MaintenanceMultiplier,"AAAAAD8/7Uc=")</f>
        <v>#VALUE!</v>
      </c>
      <c r="BU3" s="58" t="str">
        <f>IF("N",NonCarbDaysProteinPerLb,"AAAAAD8/7Ug=")</f>
        <v>#VALUE!</v>
      </c>
      <c r="BV3" s="58" t="str">
        <f>IF("N",OptYesNo,"AAAAAD8/7Uk=")</f>
        <v>#VALUE!</v>
      </c>
      <c r="BW3" s="58" t="str">
        <f>IF("N",PowerWorkoutCarbPerKg,"AAAAAD8/7Uo=")</f>
        <v>#VALUE!</v>
      </c>
      <c r="BX3" s="58" t="str">
        <f>IF("N",PowerWorkoutFatAmount,"AAAAAD8/7Us=")</f>
        <v>#VALUE!</v>
      </c>
      <c r="BY3" s="58" t="str">
        <f>IF("N",SelectedCarbLoadMultiplier,"AAAAAD8/7Uw=")</f>
        <v>#VALUE!</v>
      </c>
      <c r="BZ3" s="58" t="str">
        <f>IF("N",SelectedMaintCalMulti,"AAAAAD8/7U0=")</f>
        <v>#VALUE!</v>
      </c>
      <c r="CA3" s="58" t="str">
        <f>IF("N",SelectedStartWeekday,"AAAAAD8/7U4=")</f>
        <v>#VALUE!</v>
      </c>
      <c r="CB3" s="58" t="str">
        <f>IF("N",TrainingTypes,"AAAAAD8/7U8=")</f>
        <v>#VALUE!</v>
      </c>
      <c r="CC3" s="58" t="str">
        <f>IF("N",Weekdays,"AAAAAD8/7VA=")</f>
        <v>#VALUE!</v>
      </c>
      <c r="CD3" s="58" t="str">
        <f>IF("N",WeekdaysWithNumber,"AAAAAD8/7VE=")</f>
        <v>#VALUE!</v>
      </c>
      <c r="CE3" s="58" t="str">
        <f>IF("N",WeightKg,"AAAAAD8/7VI=")</f>
        <v>#VALUE!</v>
      </c>
      <c r="CF3" s="58" t="str">
        <f>IF("N",WeightLb,"AAAAAD8/7VM=")</f>
        <v>#VALUE!</v>
      </c>
    </row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2011-10-13T03:50:14Z</dcterms:created>
  <dc:creator>Andy Kohn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false</vt:lpwstr>
  </property>
  <property fmtid="{D5CDD505-2E9C-101B-9397-08002B2CF9AE}" pid="3" name="Google.Documents.DocumentId">
    <vt:lpwstr>1jLuxIQT2XMi1kONxsUOIjh1SsAtiO4LvCDEnc2DcOxg</vt:lpwstr>
  </property>
  <property fmtid="{D5CDD505-2E9C-101B-9397-08002B2CF9AE}" pid="4" name="Google.Documents.RevisionId">
    <vt:lpwstr>16899024982343446009</vt:lpwstr>
  </property>
  <property fmtid="{D5CDD505-2E9C-101B-9397-08002B2CF9AE}" pid="5" name="Google.Documents.PluginVersion">
    <vt:lpwstr>2.0.2424.7283</vt:lpwstr>
  </property>
  <property fmtid="{D5CDD505-2E9C-101B-9397-08002B2CF9AE}" pid="6" name="Google.Documents.MergeIncapabilityFlags">
    <vt:i4>0</vt:i4>
  </property>
</Properties>
</file>